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6.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drawings/drawing10.xml" ContentType="application/vnd.openxmlformats-officedocument.drawingml.chartshapes+xml"/>
  <Override PartName="/xl/drawings/drawing33.xml" ContentType="application/vnd.openxmlformats-officedocument.drawingml.chartshapes+xml"/>
  <Override PartName="/xl/drawings/drawing14.xml" ContentType="application/vnd.openxmlformats-officedocument.drawingml.chartshapes+xml"/>
  <Override PartName="/xl/drawings/drawing26.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3.xml" ContentType="application/vnd.openxmlformats-officedocument.drawingml.chartshape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xml"/>
  <Override PartName="/xl/charts/chart13.xml" ContentType="application/vnd.openxmlformats-officedocument.drawingml.chart+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drawings/drawing29.xml" ContentType="application/vnd.openxmlformats-officedocument.drawing+xml"/>
  <Override PartName="/xl/charts/chart21.xml" ContentType="application/vnd.openxmlformats-officedocument.drawingml.chart+xml"/>
  <Override PartName="/xl/drawings/drawing31.xml" ContentType="application/vnd.openxmlformats-officedocument.drawing+xml"/>
  <Override PartName="/xl/charts/chart22.xml" ContentType="application/vnd.openxmlformats-officedocument.drawingml.chart+xml"/>
  <Override PartName="/xl/drawings/drawing32.xml" ContentType="application/vnd.openxmlformats-officedocument.drawing+xml"/>
  <Override PartName="/xl/charts/chart23.xml" ContentType="application/vnd.openxmlformats-officedocument.drawingml.chart+xml"/>
  <Override PartName="/xl/drawings/drawing34.xml" ContentType="application/vnd.openxmlformats-officedocument.drawing+xml"/>
  <Override PartName="/xl/charts/chart24.xml" ContentType="application/vnd.openxmlformats-officedocument.drawingml.chart+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xml"/>
  <Override PartName="/xl/charts/chart26.xml" ContentType="application/vnd.openxmlformats-officedocument.drawingml.chart+xml"/>
  <Override PartName="/xl/drawings/drawing37.xml" ContentType="application/vnd.openxmlformats-officedocument.drawing+xml"/>
  <Override PartName="/xl/charts/chart27.xml" ContentType="application/vnd.openxmlformats-officedocument.drawingml.chart+xml"/>
  <Override PartName="/xl/drawings/drawing38.xml" ContentType="application/vnd.openxmlformats-officedocument.drawing+xml"/>
  <Override PartName="/xl/charts/chart28.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nt1\Office_Shares\RE\RE10\RE10_Common\Annual Reviews\2019 Annual Review\Tables for public links\"/>
    </mc:Choice>
  </mc:AlternateContent>
  <xr:revisionPtr revIDLastSave="0" documentId="13_ncr:1_{7FDF10E3-7678-46C2-A026-1794A2C84979}" xr6:coauthVersionLast="47" xr6:coauthVersionMax="47" xr10:uidLastSave="{00000000-0000-0000-0000-000000000000}"/>
  <bookViews>
    <workbookView xWindow="42795" yWindow="3945" windowWidth="23040" windowHeight="12210" xr2:uid="{CDAA3205-5751-490A-A542-E4BA51DFB031}"/>
  </bookViews>
  <sheets>
    <sheet name="Readme" sheetId="2" r:id="rId1"/>
    <sheet name="Data_GA" sheetId="3" r:id="rId2"/>
    <sheet name="GA_Accidents" sheetId="4" r:id="rId3"/>
    <sheet name="GA_AccRate" sheetId="5" r:id="rId4"/>
    <sheet name="GA_AircraftCategory_FlightPurpo" sheetId="6" r:id="rId5"/>
    <sheet name="GA_DefiningEvent" sheetId="7" r:id="rId6"/>
    <sheet name="GA_PhaseOfFlight" sheetId="8" r:id="rId7"/>
    <sheet name="GA_FlightHours" sheetId="9" r:id="rId8"/>
    <sheet name="GA_Personal_Accidents" sheetId="10" r:id="rId9"/>
    <sheet name="GA_Personal_AccRate" sheetId="11" r:id="rId10"/>
    <sheet name="GA_Personal_DefiningEvent" sheetId="12" r:id="rId11"/>
    <sheet name="GA_Personal_PhaseOfFlight" sheetId="13" r:id="rId12"/>
    <sheet name="GA_Personal_FlightHours" sheetId="14" r:id="rId13"/>
    <sheet name="GA_Instructional_FlightHours" sheetId="15" r:id="rId14"/>
    <sheet name="GA_Instructional_Accidents" sheetId="16" r:id="rId15"/>
    <sheet name="GA_Instructional_AccRate" sheetId="17" r:id="rId16"/>
    <sheet name="GA_Instructional_DefiningEvent" sheetId="18" r:id="rId17"/>
    <sheet name="GA_Instructional_PhaseOfFlight" sheetId="19" r:id="rId18"/>
    <sheet name="GA_Business_FlightHours" sheetId="20" r:id="rId19"/>
    <sheet name="GA_Business_Accidents" sheetId="21" r:id="rId20"/>
    <sheet name="GA_Business_AccRate" sheetId="22" r:id="rId21"/>
    <sheet name="GA_Business_DefiningEvent" sheetId="23" r:id="rId22"/>
    <sheet name="GA_Business_PhaseOfFlight" sheetId="24" r:id="rId23"/>
    <sheet name="GA_Exec_FlightHours" sheetId="25" r:id="rId24"/>
    <sheet name="GA_Exec_Accidents" sheetId="26" r:id="rId25"/>
    <sheet name="GA_Exec_AccRate" sheetId="27" r:id="rId26"/>
    <sheet name="GA_Exec_DefiningEvent" sheetId="28" r:id="rId27"/>
    <sheet name="GA_Exec_PhaseOfFlight" sheetId="29" r:id="rId28"/>
    <sheet name="GA_PublicUse_Accidents" sheetId="33" r:id="rId29"/>
    <sheet name="GA_PublicUse_DefiningEvent" sheetId="31" r:id="rId30"/>
    <sheet name="GA_PublicUse_PhaseOfFlight" sheetId="32"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36" i="3" l="1"/>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alcChain>
</file>

<file path=xl/sharedStrings.xml><?xml version="1.0" encoding="utf-8"?>
<sst xmlns="http://schemas.openxmlformats.org/spreadsheetml/2006/main" count="15211" uniqueCount="2816">
  <si>
    <t>Data_GA</t>
  </si>
  <si>
    <t>This worksheet contains NTSB accident data (one row per accident aircraft) for all United States civil aviation accidents in calendar year 2019 involving aircraft not operating under 14 CFR Parts 121, 135, or 129. Commercial space transportation operations conducted under 14 CFR Part 437 are also not included. The data dictionary for this worksheet is shown below.</t>
  </si>
  <si>
    <t>GA_Accidents</t>
  </si>
  <si>
    <t>This worksheet summarizes total and fatal general aviation accidents from 2010 through 2019, using NTSB accident data.</t>
  </si>
  <si>
    <t>GA_AccRate</t>
  </si>
  <si>
    <t>This worksheet summarizes total and fatal general aviation accident rates from 2010 through 2019, using NTSB accident data and FAA activity data.</t>
  </si>
  <si>
    <t>GA_AircraftCategory_FlightPurpo</t>
  </si>
  <si>
    <t>This worksheet summarizes general aviation accidents in 2019 by aircraft category and purpose of flight, using NTSB accident data.</t>
  </si>
  <si>
    <t>GA_DefiningEvent</t>
  </si>
  <si>
    <t>This worksheet summarizes the defining events for general aviation accident aircraft in 2019, using NTSB accident data and occurrence categories developed by the CAST/ICAO Common Taxonomy Team.</t>
  </si>
  <si>
    <t>GA_PhaseOfFlight</t>
  </si>
  <si>
    <t>This worksheet summarizes the phases of flight associated with the defining events for general aviation accident aircraft in 2019, using NTSB accident data and occurrence categories developed by the CAST/ICAO Common Taxonomy Team.</t>
  </si>
  <si>
    <t>GA_FlightHours</t>
  </si>
  <si>
    <t>This worksheet summarizes general aviation flight hours from 2010 through 2019, using FAA activity data.</t>
  </si>
  <si>
    <t>GA_Personal_Accidents</t>
  </si>
  <si>
    <t>This worksheet summarizes total and fatal general aviation personal flying accidents from 2010 through 2019, using NTSB accident data.</t>
  </si>
  <si>
    <t>GA_Personal_AccRate</t>
  </si>
  <si>
    <t>This worksheet summarizes general aviation personal flying accident rates from 2010 through 2019, using NTSB accident data and FAA activity data.</t>
  </si>
  <si>
    <t>GA_Personal_DefiningEvent</t>
  </si>
  <si>
    <t>This worksheet summarizes the defining events for general aviation aircraft involved in accidents while conducting personal flying in 2019, using NTSB accident data and occurrence categories developed by the CAST/ICAO Common Taxonomy Team.</t>
  </si>
  <si>
    <t>GA_Personal_PhaseOfFlight</t>
  </si>
  <si>
    <t>This worksheet summarizes the phases of flight associated with the defining events for general aviation aircraft involved in accidents while conducting personal flying in 2019, using NTSB accident data and occurrence categories developed by the CAST/ICAO Common Taxonomy Team.</t>
  </si>
  <si>
    <t>GA_Personal_FlightHours</t>
  </si>
  <si>
    <t>This worksheet summarizes general aviation personal flying hours from 2010 through 2019, using FAA activity data.</t>
  </si>
  <si>
    <t>GA_Instructional_FlightHours</t>
  </si>
  <si>
    <t>This worksheet summarizes general aviation instructional flying hours from 2010 through 2019, using FAA activity data.</t>
  </si>
  <si>
    <t>GA_Instructional_Accidents</t>
  </si>
  <si>
    <t>This worksheet summarizes total and fatal general aviation instructional flying accidents from 2010 through 2019, using NTSB accident data.</t>
  </si>
  <si>
    <t>GA_Instructional_AccRate</t>
  </si>
  <si>
    <t>This worksheet summarizes general aviation instructional flying accident rates from 2010 through 2019, using NTSB accident data and FAA activity data.</t>
  </si>
  <si>
    <t>GA_Instructional_DefiningEvent</t>
  </si>
  <si>
    <t>This worksheet summarizes the defining events for general aviation aircraft involved in accidents while conducting instructional flying in 2019, using NTSB accident data and occurrence categories developed by the CAST/ICAO Common Taxonomy Team.</t>
  </si>
  <si>
    <t>GA_Instructional_PhaseOfFlight</t>
  </si>
  <si>
    <t>This worksheet summarizes the phases of flight associated with the defining events for general aviation aircraft involved in accidents while conducting instructional flying in 2019, using NTSB accident data and occurrence categories developed by the CAST/ICAO Common Taxonomy Team.</t>
  </si>
  <si>
    <t>GA_Business_FlightHours</t>
  </si>
  <si>
    <t>This worksheet summarizes general aviation business flying hours from 2010 through 2019, using FAA activity data.</t>
  </si>
  <si>
    <t>GA_Business_Accidents</t>
  </si>
  <si>
    <t>This worksheet summarizes total and fatal general aviation business flying accidents from 2010 through 2019, using NTSB accident data.</t>
  </si>
  <si>
    <t>GA_Business_AccRate</t>
  </si>
  <si>
    <t>This worksheet summarizes general aviation business flying accident rates from 2010 through 2019, using NTSB accident data and FAA activity data.</t>
  </si>
  <si>
    <t>GA_Business_DefiningEvent</t>
  </si>
  <si>
    <t>This worksheet summarizes the defining events for general aviation aircraft involved in accidents while conducting business flying in 2019, using NTSB accident data and occurrence categories developed by the CAST/ICAO Common Taxonomy Team.</t>
  </si>
  <si>
    <t>GA_Business_PhaseOfFlight</t>
  </si>
  <si>
    <t>This worksheet summarizes the phases of flight associated with the defining events for general aviation aircraft involved in accidents while conducting business flying in 2019, using NTSB accident data and occurrence categories developed by the CAST/ICAO Common Taxonomy Team.</t>
  </si>
  <si>
    <t>GA_Exec_FlightHours</t>
  </si>
  <si>
    <t>This worksheet summarizes general aviation executive/corporate flying hours from 2010 through 2019, using FAA activity data.</t>
  </si>
  <si>
    <t>GA_Exec_Accidents</t>
  </si>
  <si>
    <t>This worksheet summarizes total and fatal general aviation executive/corporate flying accidents from 2010 through 2019, using NTSB accident data.</t>
  </si>
  <si>
    <t>GA_Exec_AccRate</t>
  </si>
  <si>
    <t>This worksheet summarizes general aviation executive/corporate flying accident rates from 2010 through 2019, using NTSB accident data and FAA activity data.</t>
  </si>
  <si>
    <t>GA_Exec_DefiningEvent</t>
  </si>
  <si>
    <t>This worksheet summarizes the defining events for general aviation aircraft involved in accidents while conducting executive/corporate flying in 2019, using NTSB accident data and occurrence categories developed by the CAST/ICAO Common Taxonomy Team.</t>
  </si>
  <si>
    <t>GA_Exec_PhaseOfFlight</t>
  </si>
  <si>
    <t>This worksheet summarizes the phases of flight associated with the defining events for general aviation aircraft involved in accidents while conducting executive/corporate flying in 2019, using NTSB accident data and occurrence categories developed by the CAST/ICAO Common Taxonomy Team.</t>
  </si>
  <si>
    <t>GA_PublicUse_Accidents</t>
  </si>
  <si>
    <t>This worksheet summarizes total and fatal general aviation accidents involving aircraft conducting public use operations from 2010 through 2019, using NTSB accident data.</t>
  </si>
  <si>
    <t>GA_PublicUse_DefiningEvent</t>
  </si>
  <si>
    <t>This worksheet summarizes the defining events for general aviation aircraft involved in accidents while conducting public use operations in 2019, using NTSB accident data and occurrence categories developed by the CAST/ICAO Common Taxonomy Team.</t>
  </si>
  <si>
    <t>GA_PublicUse_PhaseOfFlight</t>
  </si>
  <si>
    <t>This worksheet summarizes the phases of flight associated with the defining events for general aviation aircraft involved in accidents while conducting public use operations in 2019, using NTSB accident data and occurrence categories developed by the CAST/ICAO Common Taxonomy Team.</t>
  </si>
  <si>
    <t>This workbook contains the following worksheets:</t>
  </si>
  <si>
    <t>General Aviation Accident Aircraft, 2019</t>
  </si>
  <si>
    <t>NTSBNumber</t>
  </si>
  <si>
    <t>AccidentReport</t>
  </si>
  <si>
    <t>AccidentDate</t>
  </si>
  <si>
    <t>City</t>
  </si>
  <si>
    <t>StateOrRegion</t>
  </si>
  <si>
    <t>Country</t>
  </si>
  <si>
    <t>Latitude</t>
  </si>
  <si>
    <t>Longitude</t>
  </si>
  <si>
    <t>FatalInjuries</t>
  </si>
  <si>
    <t>SeriousInjuries</t>
  </si>
  <si>
    <t>HighestInjuryLevel</t>
  </si>
  <si>
    <t>AircraftNumber</t>
  </si>
  <si>
    <t>DamageLevel</t>
  </si>
  <si>
    <t>AircraftCategory</t>
  </si>
  <si>
    <t>RegulationFlightConductedUnder</t>
  </si>
  <si>
    <t>FlightScheduledType</t>
  </si>
  <si>
    <t>FlightTerminalType</t>
  </si>
  <si>
    <t>FlightServiceType</t>
  </si>
  <si>
    <t>FlightOperationType</t>
  </si>
  <si>
    <t>DefiningEvent</t>
  </si>
  <si>
    <t>PhaseOfFlight</t>
  </si>
  <si>
    <t>IntentionalAct</t>
  </si>
  <si>
    <t>GAA19CA118</t>
  </si>
  <si>
    <t>2019-01-02</t>
  </si>
  <si>
    <t>Appleton</t>
  </si>
  <si>
    <t>Minnesota</t>
  </si>
  <si>
    <t>United States</t>
  </si>
  <si>
    <t>None</t>
  </si>
  <si>
    <t>Substantial</t>
  </si>
  <si>
    <t>Airplane</t>
  </si>
  <si>
    <t>Part 91: General aviation</t>
  </si>
  <si>
    <t>Instructional</t>
  </si>
  <si>
    <t>Loss of Control on Ground</t>
  </si>
  <si>
    <t>Landing</t>
  </si>
  <si>
    <t>GAA19CA124</t>
  </si>
  <si>
    <t>Santa Maria Island</t>
  </si>
  <si>
    <t>Florida</t>
  </si>
  <si>
    <t>Serious</t>
  </si>
  <si>
    <t>Helicopter</t>
  </si>
  <si>
    <t>Aerial observation</t>
  </si>
  <si>
    <t>Loss of Control In-Flight</t>
  </si>
  <si>
    <t>Maneuvering</t>
  </si>
  <si>
    <t>WPR19LA054</t>
  </si>
  <si>
    <t>Sacramento</t>
  </si>
  <si>
    <t>California</t>
  </si>
  <si>
    <t>Fatal</t>
  </si>
  <si>
    <t>Personal</t>
  </si>
  <si>
    <t>Abnormal Runway Contact</t>
  </si>
  <si>
    <t>WPR19LA055</t>
  </si>
  <si>
    <t>Townsend</t>
  </si>
  <si>
    <t>Montana</t>
  </si>
  <si>
    <t>Low Altitude Operation</t>
  </si>
  <si>
    <t>ERA19LA085</t>
  </si>
  <si>
    <t>2019-01-03</t>
  </si>
  <si>
    <t>Wilkes-Barre</t>
  </si>
  <si>
    <t>Pennsylvania</t>
  </si>
  <si>
    <t>Fuel Related</t>
  </si>
  <si>
    <t>Approach</t>
  </si>
  <si>
    <t>GAA19CA110</t>
  </si>
  <si>
    <t>Grace</t>
  </si>
  <si>
    <t>Idaho</t>
  </si>
  <si>
    <t>GAA19CA112</t>
  </si>
  <si>
    <t>Prescott</t>
  </si>
  <si>
    <t>Arizona</t>
  </si>
  <si>
    <t>GAA19CA116</t>
  </si>
  <si>
    <t>Edgewood</t>
  </si>
  <si>
    <t>New Mexico</t>
  </si>
  <si>
    <t>GAA19CA117</t>
  </si>
  <si>
    <t>Longmont</t>
  </si>
  <si>
    <t>Colorado</t>
  </si>
  <si>
    <t>GAA19CA127</t>
  </si>
  <si>
    <t>2019-01-05</t>
  </si>
  <si>
    <t>Casa Grande</t>
  </si>
  <si>
    <t>CEN19LA059</t>
  </si>
  <si>
    <t>2019-01-06</t>
  </si>
  <si>
    <t>Flint</t>
  </si>
  <si>
    <t>Michigan</t>
  </si>
  <si>
    <t>System/Component Failure - Non-power</t>
  </si>
  <si>
    <t>GAA19CA104</t>
  </si>
  <si>
    <t>Bowling Green</t>
  </si>
  <si>
    <t>Ohio</t>
  </si>
  <si>
    <t>ERA19LA080</t>
  </si>
  <si>
    <t>2019-01-07</t>
  </si>
  <si>
    <t>Soddy-Daisy</t>
  </si>
  <si>
    <t>Tennessee</t>
  </si>
  <si>
    <t>Destroyed</t>
  </si>
  <si>
    <t>WPR19LA058</t>
  </si>
  <si>
    <t>Colusa</t>
  </si>
  <si>
    <t>Initial Climb</t>
  </si>
  <si>
    <t>CEN19LA065</t>
  </si>
  <si>
    <t>2019-01-08</t>
  </si>
  <si>
    <t>Uvalde</t>
  </si>
  <si>
    <t>Texas</t>
  </si>
  <si>
    <t>Minor</t>
  </si>
  <si>
    <t>CEN19LA069</t>
  </si>
  <si>
    <t>2019-01-10</t>
  </si>
  <si>
    <t>Port Lavaca</t>
  </si>
  <si>
    <t>System/Component Failure - Powerplant</t>
  </si>
  <si>
    <t>CEN19LA067</t>
  </si>
  <si>
    <t>2019-01-11</t>
  </si>
  <si>
    <t>Belen</t>
  </si>
  <si>
    <t>CEN19LA068</t>
  </si>
  <si>
    <t>Ponca City</t>
  </si>
  <si>
    <t>Oklahoma</t>
  </si>
  <si>
    <t>Positioning</t>
  </si>
  <si>
    <t>WPR19TA061</t>
  </si>
  <si>
    <t>Yuma</t>
  </si>
  <si>
    <t>Part 137: Agricultural</t>
  </si>
  <si>
    <t>Other work use</t>
  </si>
  <si>
    <t>CEN19LA054</t>
  </si>
  <si>
    <t>2019-01-12</t>
  </si>
  <si>
    <t>Business</t>
  </si>
  <si>
    <t>WPR19LA062</t>
  </si>
  <si>
    <t>Langley</t>
  </si>
  <si>
    <t>Washington</t>
  </si>
  <si>
    <t>CEN19LA053</t>
  </si>
  <si>
    <t>2019-01-13</t>
  </si>
  <si>
    <t>Salem</t>
  </si>
  <si>
    <t>South Dakota</t>
  </si>
  <si>
    <t>Medical Event</t>
  </si>
  <si>
    <t>CEN19LA066</t>
  </si>
  <si>
    <t>Adrian</t>
  </si>
  <si>
    <t>WPR19LA063</t>
  </si>
  <si>
    <t>Kingman</t>
  </si>
  <si>
    <t>Enroute</t>
  </si>
  <si>
    <t>WPR19LA064</t>
  </si>
  <si>
    <t>Port Hadlock</t>
  </si>
  <si>
    <t>WPR19LA065</t>
  </si>
  <si>
    <t>2019-01-15</t>
  </si>
  <si>
    <t>Salt Lake City</t>
  </si>
  <si>
    <t>Utah</t>
  </si>
  <si>
    <t>WPR19CA069</t>
  </si>
  <si>
    <t>2019-01-16</t>
  </si>
  <si>
    <t>CEN19LA055</t>
  </si>
  <si>
    <t>2019-01-17</t>
  </si>
  <si>
    <t>Fredericksburg</t>
  </si>
  <si>
    <t>WPR19LA066</t>
  </si>
  <si>
    <t>Ellensburg</t>
  </si>
  <si>
    <t>CEN19LA071</t>
  </si>
  <si>
    <t>2019-01-18</t>
  </si>
  <si>
    <t>Beechwood</t>
  </si>
  <si>
    <t>Wisconsin</t>
  </si>
  <si>
    <t>GAA19CA105</t>
  </si>
  <si>
    <t>Reidsville</t>
  </si>
  <si>
    <t>North Carolina</t>
  </si>
  <si>
    <t>CEN19CA062</t>
  </si>
  <si>
    <t>2019-01-19</t>
  </si>
  <si>
    <t>Iron Mountain</t>
  </si>
  <si>
    <t>CEN19LA060</t>
  </si>
  <si>
    <t>Keshena</t>
  </si>
  <si>
    <t>GAA19CA122</t>
  </si>
  <si>
    <t>MIAMI</t>
  </si>
  <si>
    <t>WPR19CA067</t>
  </si>
  <si>
    <t>Chino</t>
  </si>
  <si>
    <t>WPR19LA070</t>
  </si>
  <si>
    <t>Roll</t>
  </si>
  <si>
    <t>WPR19TA068</t>
  </si>
  <si>
    <t>Torrance</t>
  </si>
  <si>
    <t>Ground Collision</t>
  </si>
  <si>
    <t>Taxi</t>
  </si>
  <si>
    <t>Standing</t>
  </si>
  <si>
    <t>CEN19LA063</t>
  </si>
  <si>
    <t>2019-01-20</t>
  </si>
  <si>
    <t>Aguilares</t>
  </si>
  <si>
    <t>GAA19CA115</t>
  </si>
  <si>
    <t>Patterson</t>
  </si>
  <si>
    <t>Louisiana</t>
  </si>
  <si>
    <t>Abrupt Maneuver</t>
  </si>
  <si>
    <t>ANC19CA010</t>
  </si>
  <si>
    <t>2019-01-21</t>
  </si>
  <si>
    <t>Chignik Lagoon</t>
  </si>
  <si>
    <t>Alaska</t>
  </si>
  <si>
    <t>Non-scheduled</t>
  </si>
  <si>
    <t>CEN19LA056</t>
  </si>
  <si>
    <t>Kidron</t>
  </si>
  <si>
    <t>CEN19WA057</t>
  </si>
  <si>
    <t>St. Peter Port</t>
  </si>
  <si>
    <t>United Kingdom</t>
  </si>
  <si>
    <t>Non-U.S., non-commercial</t>
  </si>
  <si>
    <t>ANC19LA011</t>
  </si>
  <si>
    <t>2019-01-22</t>
  </si>
  <si>
    <t>Anchorage</t>
  </si>
  <si>
    <t>WPR19CA072</t>
  </si>
  <si>
    <t>2019-01-23</t>
  </si>
  <si>
    <t>Ogden</t>
  </si>
  <si>
    <t>Runway Excursion</t>
  </si>
  <si>
    <t>Takeoff</t>
  </si>
  <si>
    <t>WPR19LA071</t>
  </si>
  <si>
    <t>Ashland</t>
  </si>
  <si>
    <t>Oregon</t>
  </si>
  <si>
    <t>GAA19CA134</t>
  </si>
  <si>
    <t>2019-01-25</t>
  </si>
  <si>
    <t>Troutdale</t>
  </si>
  <si>
    <t>WPR19FA077</t>
  </si>
  <si>
    <t>Mt Hood</t>
  </si>
  <si>
    <t>ERA19LA083</t>
  </si>
  <si>
    <t>2019-01-26</t>
  </si>
  <si>
    <t>Lexington</t>
  </si>
  <si>
    <t>Kentucky</t>
  </si>
  <si>
    <t>GAA19CA109</t>
  </si>
  <si>
    <t>Los Angeles</t>
  </si>
  <si>
    <t>GAA19CA131</t>
  </si>
  <si>
    <t>Williamsburg</t>
  </si>
  <si>
    <t>Virginia</t>
  </si>
  <si>
    <t>CEN19LA076</t>
  </si>
  <si>
    <t>2019-01-27</t>
  </si>
  <si>
    <t>Pflugerville</t>
  </si>
  <si>
    <t>CEN19TA073</t>
  </si>
  <si>
    <t>Fort Worth</t>
  </si>
  <si>
    <t>GAA19CA114</t>
  </si>
  <si>
    <t>GAA19CA126</t>
  </si>
  <si>
    <t>Selah</t>
  </si>
  <si>
    <t>GAA19CA132</t>
  </si>
  <si>
    <t>McGrath</t>
  </si>
  <si>
    <t>WPR19FA075</t>
  </si>
  <si>
    <t>2019-01-28</t>
  </si>
  <si>
    <t>Oceanside</t>
  </si>
  <si>
    <t>Unintended Flight Into IMC</t>
  </si>
  <si>
    <t>WPR19LA076</t>
  </si>
  <si>
    <t>Prospect</t>
  </si>
  <si>
    <t>ANC19FA012</t>
  </si>
  <si>
    <t>2019-01-29</t>
  </si>
  <si>
    <t>Kake</t>
  </si>
  <si>
    <t>CEN19LA074</t>
  </si>
  <si>
    <t>Grand Prairie</t>
  </si>
  <si>
    <t>Midair</t>
  </si>
  <si>
    <t>GAA19CA113</t>
  </si>
  <si>
    <t>Reno</t>
  </si>
  <si>
    <t>Nevada</t>
  </si>
  <si>
    <t>GAA19CA120</t>
  </si>
  <si>
    <t>Truckee</t>
  </si>
  <si>
    <t>GAA19CA121</t>
  </si>
  <si>
    <t>Tampa</t>
  </si>
  <si>
    <t>Public aircraft</t>
  </si>
  <si>
    <t>CEN19FA078</t>
  </si>
  <si>
    <t>2019-01-31</t>
  </si>
  <si>
    <t>Katy</t>
  </si>
  <si>
    <t>ERA19LA093</t>
  </si>
  <si>
    <t>2019-02-01</t>
  </si>
  <si>
    <t>Atlantic Ocean</t>
  </si>
  <si>
    <t>GAA19CA125</t>
  </si>
  <si>
    <t>Cedar City</t>
  </si>
  <si>
    <t>WPR19LA078</t>
  </si>
  <si>
    <t>Socorro</t>
  </si>
  <si>
    <t>ERA19LA094</t>
  </si>
  <si>
    <t>2019-02-02</t>
  </si>
  <si>
    <t>Ocala</t>
  </si>
  <si>
    <t>Weight-shift</t>
  </si>
  <si>
    <t>ERA19LA095</t>
  </si>
  <si>
    <t>Knotts Island</t>
  </si>
  <si>
    <t>WPR19FA079</t>
  </si>
  <si>
    <t>2019-02-03</t>
  </si>
  <si>
    <t>Yorba Linda</t>
  </si>
  <si>
    <t>GAA19CA130</t>
  </si>
  <si>
    <t>2019-02-04</t>
  </si>
  <si>
    <t>Hanover</t>
  </si>
  <si>
    <t>WPR19FA080</t>
  </si>
  <si>
    <t>2019-02-05</t>
  </si>
  <si>
    <t>Desert Hot Springs</t>
  </si>
  <si>
    <t>Navigation Error</t>
  </si>
  <si>
    <t>WPR19TA085</t>
  </si>
  <si>
    <t>2019-02-06</t>
  </si>
  <si>
    <t>Aurora</t>
  </si>
  <si>
    <t>ERA19LA097</t>
  </si>
  <si>
    <t>2019-02-08</t>
  </si>
  <si>
    <t>Vero Beach</t>
  </si>
  <si>
    <t>GAA19CA133</t>
  </si>
  <si>
    <t>Page</t>
  </si>
  <si>
    <t>WPR19FA083</t>
  </si>
  <si>
    <t>Diablo</t>
  </si>
  <si>
    <t>Controlled Flight Into Terrain</t>
  </si>
  <si>
    <t>WPR19LA100</t>
  </si>
  <si>
    <t>2019-02-09</t>
  </si>
  <si>
    <t>Watsonville</t>
  </si>
  <si>
    <t>ERA19TA098</t>
  </si>
  <si>
    <t>2019-02-10</t>
  </si>
  <si>
    <t>Lignum</t>
  </si>
  <si>
    <t>GAA19CA136</t>
  </si>
  <si>
    <t>Arlington</t>
  </si>
  <si>
    <t>GAA19CA143</t>
  </si>
  <si>
    <t>Woodruff</t>
  </si>
  <si>
    <t>WPR19LA088</t>
  </si>
  <si>
    <t>Laramie</t>
  </si>
  <si>
    <t>Wyoming</t>
  </si>
  <si>
    <t>CEN19LA090</t>
  </si>
  <si>
    <t>2019-02-11</t>
  </si>
  <si>
    <t>Richmond</t>
  </si>
  <si>
    <t>Indiana</t>
  </si>
  <si>
    <t>GAA19CA140</t>
  </si>
  <si>
    <t>2019-02-12</t>
  </si>
  <si>
    <t>Slaton</t>
  </si>
  <si>
    <t>GAA19CA138</t>
  </si>
  <si>
    <t>2019-02-13</t>
  </si>
  <si>
    <t>Atlanta</t>
  </si>
  <si>
    <t>Georgia</t>
  </si>
  <si>
    <t>GAA19CA145</t>
  </si>
  <si>
    <t>2019-02-14</t>
  </si>
  <si>
    <t>Lacon</t>
  </si>
  <si>
    <t>Illinois</t>
  </si>
  <si>
    <t>CEN19FA082</t>
  </si>
  <si>
    <t>2019-02-15</t>
  </si>
  <si>
    <t>Canadian</t>
  </si>
  <si>
    <t>CEN19LA091</t>
  </si>
  <si>
    <t>Horseshoe Bay</t>
  </si>
  <si>
    <t>GAA19CA137</t>
  </si>
  <si>
    <t>Sanford</t>
  </si>
  <si>
    <t>WPR19FA084</t>
  </si>
  <si>
    <t>Ely</t>
  </si>
  <si>
    <t>GAA19CA141</t>
  </si>
  <si>
    <t>2019-02-19</t>
  </si>
  <si>
    <t>Clearwater</t>
  </si>
  <si>
    <t>GAA19CA142</t>
  </si>
  <si>
    <t>2019-02-20</t>
  </si>
  <si>
    <t>Tulsa</t>
  </si>
  <si>
    <t>CEN19FA084</t>
  </si>
  <si>
    <t>2019-02-21</t>
  </si>
  <si>
    <t>Goshen</t>
  </si>
  <si>
    <t>CEN19LA085</t>
  </si>
  <si>
    <t>ENGLEWOOD</t>
  </si>
  <si>
    <t>Unknown</t>
  </si>
  <si>
    <t>ERA19TA105</t>
  </si>
  <si>
    <t>Frankfort</t>
  </si>
  <si>
    <t>GAA19CA146</t>
  </si>
  <si>
    <t>Livermore</t>
  </si>
  <si>
    <t>GAA19CA150</t>
  </si>
  <si>
    <t>Scappoose</t>
  </si>
  <si>
    <t>GAA19CA151</t>
  </si>
  <si>
    <t>Morristown</t>
  </si>
  <si>
    <t>New Jersey</t>
  </si>
  <si>
    <t>WPR19FA086</t>
  </si>
  <si>
    <t>Stallion Springs</t>
  </si>
  <si>
    <t>WPR19LA087</t>
  </si>
  <si>
    <t>Kukuihaele</t>
  </si>
  <si>
    <t>Hawaii</t>
  </si>
  <si>
    <t>CEN19LA086</t>
  </si>
  <si>
    <t>2019-02-22</t>
  </si>
  <si>
    <t>Colby</t>
  </si>
  <si>
    <t>Kansas</t>
  </si>
  <si>
    <t>GAA19CA144</t>
  </si>
  <si>
    <t>Ridgeland</t>
  </si>
  <si>
    <t>South Carolina</t>
  </si>
  <si>
    <t>ERA19FA106</t>
  </si>
  <si>
    <t>2019-02-23</t>
  </si>
  <si>
    <t>Winter Haven</t>
  </si>
  <si>
    <t>ERA19FA107</t>
  </si>
  <si>
    <t>Mansfield</t>
  </si>
  <si>
    <t>Massachusetts</t>
  </si>
  <si>
    <t>GAA19CA147</t>
  </si>
  <si>
    <t>Aberdeen</t>
  </si>
  <si>
    <t>Collision on Takeoff or Landing</t>
  </si>
  <si>
    <t>GAA19CA153</t>
  </si>
  <si>
    <t>Princeton</t>
  </si>
  <si>
    <t>Wildlife Encounter</t>
  </si>
  <si>
    <t>GAA19CA149</t>
  </si>
  <si>
    <t>2019-02-24</t>
  </si>
  <si>
    <t>Springfield</t>
  </si>
  <si>
    <t>Flight test</t>
  </si>
  <si>
    <t>GAA19CA152</t>
  </si>
  <si>
    <t>2019-02-25</t>
  </si>
  <si>
    <t>Public aircraft - federal</t>
  </si>
  <si>
    <t>ERA19LA109</t>
  </si>
  <si>
    <t>2019-02-26</t>
  </si>
  <si>
    <t>Louisville</t>
  </si>
  <si>
    <t>CEN19LA087</t>
  </si>
  <si>
    <t>2019-02-27</t>
  </si>
  <si>
    <t>Devine</t>
  </si>
  <si>
    <t>CEN19FA088</t>
  </si>
  <si>
    <t>2019-02-28</t>
  </si>
  <si>
    <t>Shreveport</t>
  </si>
  <si>
    <t>ERA19TA110</t>
  </si>
  <si>
    <t>TULLAHOMA</t>
  </si>
  <si>
    <t>Ferry</t>
  </si>
  <si>
    <t>ERA19TA111</t>
  </si>
  <si>
    <t>West Palm Beach</t>
  </si>
  <si>
    <t>GAA19CA154</t>
  </si>
  <si>
    <t>Floodwood</t>
  </si>
  <si>
    <t>ERA19FA112</t>
  </si>
  <si>
    <t>2019-03-01</t>
  </si>
  <si>
    <t>Fort Lauderdale</t>
  </si>
  <si>
    <t>Banner tow</t>
  </si>
  <si>
    <t>Other</t>
  </si>
  <si>
    <t>ERA19FA113</t>
  </si>
  <si>
    <t>Louisburg</t>
  </si>
  <si>
    <t>WPR19LA092</t>
  </si>
  <si>
    <t>Melba</t>
  </si>
  <si>
    <t>ERA19TA114</t>
  </si>
  <si>
    <t>2019-03-02</t>
  </si>
  <si>
    <t>Merritt Island</t>
  </si>
  <si>
    <t>GAA19CA155</t>
  </si>
  <si>
    <t>Palmer</t>
  </si>
  <si>
    <t>GAA19CA162</t>
  </si>
  <si>
    <t>Scottsdale</t>
  </si>
  <si>
    <t>CEN19FA093</t>
  </si>
  <si>
    <t>2019-03-05</t>
  </si>
  <si>
    <t>Summersville</t>
  </si>
  <si>
    <t>Missouri</t>
  </si>
  <si>
    <t>ERA19FA116</t>
  </si>
  <si>
    <t>Fellsmere</t>
  </si>
  <si>
    <t>ERA19FA118</t>
  </si>
  <si>
    <t>Talking Rock</t>
  </si>
  <si>
    <t>Part 133: Rotorcraft ext. load</t>
  </si>
  <si>
    <t>External load</t>
  </si>
  <si>
    <t>ERA19LA119</t>
  </si>
  <si>
    <t>Stateboro</t>
  </si>
  <si>
    <t>ERA19TA120</t>
  </si>
  <si>
    <t>ANC19FA038</t>
  </si>
  <si>
    <t>2019-03-06</t>
  </si>
  <si>
    <t>Skwentna</t>
  </si>
  <si>
    <t>CEN19LA101</t>
  </si>
  <si>
    <t>Granite Shoals</t>
  </si>
  <si>
    <t>GAA19CA156</t>
  </si>
  <si>
    <t>2019-03-07</t>
  </si>
  <si>
    <t>Marysville</t>
  </si>
  <si>
    <t>GAA19CA157</t>
  </si>
  <si>
    <t>Superior</t>
  </si>
  <si>
    <t>GAA19CA158</t>
  </si>
  <si>
    <t>Wyndmere</t>
  </si>
  <si>
    <t>North Dakota</t>
  </si>
  <si>
    <t>ERA19LA125</t>
  </si>
  <si>
    <t>2019-03-08</t>
  </si>
  <si>
    <t>Orlando</t>
  </si>
  <si>
    <t>GAA19CA160</t>
  </si>
  <si>
    <t>Rushville</t>
  </si>
  <si>
    <t>Nebraska</t>
  </si>
  <si>
    <t>WPR19FA091</t>
  </si>
  <si>
    <t>Forks</t>
  </si>
  <si>
    <t>WPR19FA093</t>
  </si>
  <si>
    <t>Pahokee</t>
  </si>
  <si>
    <t>CEN19FA094</t>
  </si>
  <si>
    <t>2019-03-09</t>
  </si>
  <si>
    <t>Longview</t>
  </si>
  <si>
    <t>Windshear/Thunderstorm</t>
  </si>
  <si>
    <t>ERA19LA194</t>
  </si>
  <si>
    <t>Mount Holly</t>
  </si>
  <si>
    <t>ERA19TA122</t>
  </si>
  <si>
    <t>Chamblee</t>
  </si>
  <si>
    <t>Executive/Corporate</t>
  </si>
  <si>
    <t>Undershoot/Overshoot</t>
  </si>
  <si>
    <t>GAA19CA159</t>
  </si>
  <si>
    <t>Pullman</t>
  </si>
  <si>
    <t>GAA19CA166</t>
  </si>
  <si>
    <t>Land O' Lakes</t>
  </si>
  <si>
    <t>GAA19CA171</t>
  </si>
  <si>
    <t>Chandler</t>
  </si>
  <si>
    <t>CEN19WA096</t>
  </si>
  <si>
    <t>2019-03-10</t>
  </si>
  <si>
    <t>Escuintla</t>
  </si>
  <si>
    <t>Other Foreign</t>
  </si>
  <si>
    <t>GAA19CA161</t>
  </si>
  <si>
    <t>2019-03-11</t>
  </si>
  <si>
    <t>Benton</t>
  </si>
  <si>
    <t>GAA19CA163</t>
  </si>
  <si>
    <t>PARMA</t>
  </si>
  <si>
    <t>Aerial application</t>
  </si>
  <si>
    <t>GAA19CA172</t>
  </si>
  <si>
    <t>Oskaloosa</t>
  </si>
  <si>
    <t>Iowa</t>
  </si>
  <si>
    <t>CEN19LA098</t>
  </si>
  <si>
    <t>2019-03-12</t>
  </si>
  <si>
    <t>Waterloo</t>
  </si>
  <si>
    <t>ERA19FA124</t>
  </si>
  <si>
    <t>Madeira</t>
  </si>
  <si>
    <t>ERA19LA123</t>
  </si>
  <si>
    <t>Latrobe</t>
  </si>
  <si>
    <t>GAA19CA165</t>
  </si>
  <si>
    <t>Akron</t>
  </si>
  <si>
    <t>ERA19LA126</t>
  </si>
  <si>
    <t>2019-03-13</t>
  </si>
  <si>
    <t>Ponte Vedra Beach</t>
  </si>
  <si>
    <t>Public aircraft - local</t>
  </si>
  <si>
    <t>ERA19LA131</t>
  </si>
  <si>
    <t>Brevard</t>
  </si>
  <si>
    <t>ERA19LA160</t>
  </si>
  <si>
    <t>Easton</t>
  </si>
  <si>
    <t>Maryland</t>
  </si>
  <si>
    <t>ERA19TA129</t>
  </si>
  <si>
    <t>St. Petersburg</t>
  </si>
  <si>
    <t>GAA19CA168</t>
  </si>
  <si>
    <t>Keene</t>
  </si>
  <si>
    <t>New Hampshire</t>
  </si>
  <si>
    <t>Bird Strike</t>
  </si>
  <si>
    <t>WPR19FA095</t>
  </si>
  <si>
    <t>Compton</t>
  </si>
  <si>
    <t>Runway Incursion - Vehicle</t>
  </si>
  <si>
    <t>CEN19FA099</t>
  </si>
  <si>
    <t>2019-03-14</t>
  </si>
  <si>
    <t>Lakeway</t>
  </si>
  <si>
    <t>ERA19FA130</t>
  </si>
  <si>
    <t>Cashiers</t>
  </si>
  <si>
    <t>ERA19TA133</t>
  </si>
  <si>
    <t>WPR19LA114</t>
  </si>
  <si>
    <t>San Diego</t>
  </si>
  <si>
    <t>GAA19CA167</t>
  </si>
  <si>
    <t>2019-03-15</t>
  </si>
  <si>
    <t>Yakima</t>
  </si>
  <si>
    <t>GAA19CA169</t>
  </si>
  <si>
    <t>Madras</t>
  </si>
  <si>
    <t>GAA19CA170</t>
  </si>
  <si>
    <t>Moberly</t>
  </si>
  <si>
    <t>GAA19CA173</t>
  </si>
  <si>
    <t>Independence</t>
  </si>
  <si>
    <t>ANC19LA015</t>
  </si>
  <si>
    <t>2019-03-16</t>
  </si>
  <si>
    <t>Talkeetna</t>
  </si>
  <si>
    <t>WPR19FA096</t>
  </si>
  <si>
    <t>Riverside</t>
  </si>
  <si>
    <t>CEN19FA100</t>
  </si>
  <si>
    <t>2019-03-17</t>
  </si>
  <si>
    <t>Plain City</t>
  </si>
  <si>
    <t>WPR19LA097</t>
  </si>
  <si>
    <t>Newberg</t>
  </si>
  <si>
    <t>WPR19LA098</t>
  </si>
  <si>
    <t>CEN19FA104</t>
  </si>
  <si>
    <t>2019-03-18</t>
  </si>
  <si>
    <t>Yukon</t>
  </si>
  <si>
    <t>Domestic</t>
  </si>
  <si>
    <t>GAA19CA189</t>
  </si>
  <si>
    <t>Corvallis</t>
  </si>
  <si>
    <t>CEN19LA106</t>
  </si>
  <si>
    <t>2019-03-20</t>
  </si>
  <si>
    <t>Madill</t>
  </si>
  <si>
    <t>ERA19LA132</t>
  </si>
  <si>
    <t>Sharpsburg</t>
  </si>
  <si>
    <t>GAA19CA176</t>
  </si>
  <si>
    <t>Savannah</t>
  </si>
  <si>
    <t>Fire - Non-Impact</t>
  </si>
  <si>
    <t>GAA19CA181</t>
  </si>
  <si>
    <t>Kailua-Kona</t>
  </si>
  <si>
    <t>CEN19LA130</t>
  </si>
  <si>
    <t>2019-03-21</t>
  </si>
  <si>
    <t>Milton</t>
  </si>
  <si>
    <t>GAA19CA190</t>
  </si>
  <si>
    <t>Hollywood</t>
  </si>
  <si>
    <t>CEN19LA107</t>
  </si>
  <si>
    <t>2019-03-23</t>
  </si>
  <si>
    <t>Loveland</t>
  </si>
  <si>
    <t>CEN19LA108</t>
  </si>
  <si>
    <t>Lafayette</t>
  </si>
  <si>
    <t>ERA19FA134</t>
  </si>
  <si>
    <t>Calhoun</t>
  </si>
  <si>
    <t>GAA19CA178</t>
  </si>
  <si>
    <t>Mecosta</t>
  </si>
  <si>
    <t>WPR19LA101</t>
  </si>
  <si>
    <t>Deming</t>
  </si>
  <si>
    <t>ERA19LA135</t>
  </si>
  <si>
    <t>2019-03-24</t>
  </si>
  <si>
    <t>Blanch</t>
  </si>
  <si>
    <t>ERA19LA137</t>
  </si>
  <si>
    <t>FORT LAUDERDALE</t>
  </si>
  <si>
    <t>GAA19CA177</t>
  </si>
  <si>
    <t>Fayetteville</t>
  </si>
  <si>
    <t>Arkansas</t>
  </si>
  <si>
    <t>GAA19CA180</t>
  </si>
  <si>
    <t>GAA19CA234</t>
  </si>
  <si>
    <t>Philadelphia</t>
  </si>
  <si>
    <t>ERA19LA136</t>
  </si>
  <si>
    <t>2019-03-25</t>
  </si>
  <si>
    <t>Clewiston</t>
  </si>
  <si>
    <t>CEN19LA111</t>
  </si>
  <si>
    <t>2019-03-26</t>
  </si>
  <si>
    <t>Newton</t>
  </si>
  <si>
    <t>ERA19LA138</t>
  </si>
  <si>
    <t>McAlpin</t>
  </si>
  <si>
    <t>GAA19CA193</t>
  </si>
  <si>
    <t>Pella</t>
  </si>
  <si>
    <t>CEN19FA109</t>
  </si>
  <si>
    <t>2019-03-27</t>
  </si>
  <si>
    <t>Montogomery</t>
  </si>
  <si>
    <t>ERA19LA139</t>
  </si>
  <si>
    <t>Sevierville</t>
  </si>
  <si>
    <t>CEN19LA113</t>
  </si>
  <si>
    <t>2019-03-28</t>
  </si>
  <si>
    <t>Spring</t>
  </si>
  <si>
    <t>ERA19CA289</t>
  </si>
  <si>
    <t>Winder</t>
  </si>
  <si>
    <t>GAA19CA185</t>
  </si>
  <si>
    <t>Hermiston</t>
  </si>
  <si>
    <t>CEN19TA112</t>
  </si>
  <si>
    <t>2019-03-29</t>
  </si>
  <si>
    <t>Mississippi</t>
  </si>
  <si>
    <t>GAA19CA186</t>
  </si>
  <si>
    <t>Valley Center</t>
  </si>
  <si>
    <t>GAA19CA198</t>
  </si>
  <si>
    <t>Ormond Beach</t>
  </si>
  <si>
    <t>ERA19LA141</t>
  </si>
  <si>
    <t>2019-03-30</t>
  </si>
  <si>
    <t>Palatka</t>
  </si>
  <si>
    <t>ERA19LA145</t>
  </si>
  <si>
    <t>Montgomery</t>
  </si>
  <si>
    <t>New York</t>
  </si>
  <si>
    <t>ERA19TA146</t>
  </si>
  <si>
    <t>Fort Myers</t>
  </si>
  <si>
    <t>WPR19LA105</t>
  </si>
  <si>
    <t>Copalis</t>
  </si>
  <si>
    <t>GAA19CA184</t>
  </si>
  <si>
    <t>2019-03-31</t>
  </si>
  <si>
    <t>Afton</t>
  </si>
  <si>
    <t>GAA19CA191</t>
  </si>
  <si>
    <t>Swainsboro</t>
  </si>
  <si>
    <t>GAA19CA192</t>
  </si>
  <si>
    <t>Stephenville</t>
  </si>
  <si>
    <t>WPR19FA103</t>
  </si>
  <si>
    <t>Farmington</t>
  </si>
  <si>
    <t>WPR19LA102</t>
  </si>
  <si>
    <t>Placerville</t>
  </si>
  <si>
    <t>WPR19LA104</t>
  </si>
  <si>
    <t>2019-04-01</t>
  </si>
  <si>
    <t>Napa</t>
  </si>
  <si>
    <t>Balloon</t>
  </si>
  <si>
    <t>CEN19LA116</t>
  </si>
  <si>
    <t>2019-04-02</t>
  </si>
  <si>
    <t>Lafe</t>
  </si>
  <si>
    <t>GAA19CA194</t>
  </si>
  <si>
    <t>Clemson</t>
  </si>
  <si>
    <t>GAA19CA195</t>
  </si>
  <si>
    <t>Taunton</t>
  </si>
  <si>
    <t>CEN19LA132</t>
  </si>
  <si>
    <t>2019-04-03</t>
  </si>
  <si>
    <t>Prairieville</t>
  </si>
  <si>
    <t>GAA19CA196</t>
  </si>
  <si>
    <t>Lakeland</t>
  </si>
  <si>
    <t>ERA19FA142</t>
  </si>
  <si>
    <t>2019-04-04</t>
  </si>
  <si>
    <t>ERA19LA143</t>
  </si>
  <si>
    <t>Edgefield</t>
  </si>
  <si>
    <t>GAA19CA199</t>
  </si>
  <si>
    <t>Monument Valley</t>
  </si>
  <si>
    <t>GAA19CA200</t>
  </si>
  <si>
    <t>ERA19LA144</t>
  </si>
  <si>
    <t>2019-04-06</t>
  </si>
  <si>
    <t>Clover</t>
  </si>
  <si>
    <t>ERA19CA148</t>
  </si>
  <si>
    <t>2019-04-08</t>
  </si>
  <si>
    <t>Lancaster</t>
  </si>
  <si>
    <t>WPR19FA106</t>
  </si>
  <si>
    <t>Santa Fe</t>
  </si>
  <si>
    <t>CEN19FA117</t>
  </si>
  <si>
    <t>2019-04-09</t>
  </si>
  <si>
    <t>Harlingen</t>
  </si>
  <si>
    <t>ERA19CA147</t>
  </si>
  <si>
    <t>2019-04-10</t>
  </si>
  <si>
    <t>Gallatin</t>
  </si>
  <si>
    <t>GAA19CA202</t>
  </si>
  <si>
    <t>Sisters</t>
  </si>
  <si>
    <t>ERA19LA149</t>
  </si>
  <si>
    <t>2019-04-11</t>
  </si>
  <si>
    <t>Meriden</t>
  </si>
  <si>
    <t>Connecticut</t>
  </si>
  <si>
    <t>ERA19LA151</t>
  </si>
  <si>
    <t>Fulton</t>
  </si>
  <si>
    <t>GAA19CA203</t>
  </si>
  <si>
    <t>Fullteron</t>
  </si>
  <si>
    <t>GAA19CA204</t>
  </si>
  <si>
    <t>GAA19CA209</t>
  </si>
  <si>
    <t>2019-04-12</t>
  </si>
  <si>
    <t>Big Pine</t>
  </si>
  <si>
    <t>CEN19FA119</t>
  </si>
  <si>
    <t>2019-04-13</t>
  </si>
  <si>
    <t>New Albany</t>
  </si>
  <si>
    <t>CEN19FA120</t>
  </si>
  <si>
    <t>Lake</t>
  </si>
  <si>
    <t>ERA19TA153</t>
  </si>
  <si>
    <t>Bradenton Beach</t>
  </si>
  <si>
    <t>GAA19CA205</t>
  </si>
  <si>
    <t>Seward</t>
  </si>
  <si>
    <t>GAA19CA207</t>
  </si>
  <si>
    <t>WPR19LA108</t>
  </si>
  <si>
    <t>Winters</t>
  </si>
  <si>
    <t>ERA19LA150</t>
  </si>
  <si>
    <t>2019-04-14</t>
  </si>
  <si>
    <t>GAA19CA213</t>
  </si>
  <si>
    <t>Bangor</t>
  </si>
  <si>
    <t>Maine</t>
  </si>
  <si>
    <t>GAA19CA214</t>
  </si>
  <si>
    <t>Limington</t>
  </si>
  <si>
    <t>GAA19CA217</t>
  </si>
  <si>
    <t>Wall</t>
  </si>
  <si>
    <t>WPR19TA110</t>
  </si>
  <si>
    <t>St. Helena</t>
  </si>
  <si>
    <t>ANC19TA017</t>
  </si>
  <si>
    <t>2019-04-15</t>
  </si>
  <si>
    <t>Nome</t>
  </si>
  <si>
    <t>GAA19CA206</t>
  </si>
  <si>
    <t>Hutchinson</t>
  </si>
  <si>
    <t>GAA19CA208</t>
  </si>
  <si>
    <t>Elizabeth</t>
  </si>
  <si>
    <t>Powered parachute</t>
  </si>
  <si>
    <t>Loss of Lift</t>
  </si>
  <si>
    <t>GAA19CA215</t>
  </si>
  <si>
    <t>Lebanon</t>
  </si>
  <si>
    <t>CEN19LA121</t>
  </si>
  <si>
    <t>2019-04-16</t>
  </si>
  <si>
    <t>Omaha</t>
  </si>
  <si>
    <t>GAA19CA211</t>
  </si>
  <si>
    <t>Denver</t>
  </si>
  <si>
    <t>WPR19FA109</t>
  </si>
  <si>
    <t>Fort McDowell</t>
  </si>
  <si>
    <t>WPR19LA112</t>
  </si>
  <si>
    <t>Morganza</t>
  </si>
  <si>
    <t>GAA19CA212</t>
  </si>
  <si>
    <t>2019-04-17</t>
  </si>
  <si>
    <t>Wickenburg</t>
  </si>
  <si>
    <t>GAA19CA216</t>
  </si>
  <si>
    <t>Donna</t>
  </si>
  <si>
    <t>WPR19FA115</t>
  </si>
  <si>
    <t>2019-04-18</t>
  </si>
  <si>
    <t>Fullerton</t>
  </si>
  <si>
    <t>Ground Handling</t>
  </si>
  <si>
    <t>WPR19FA116</t>
  </si>
  <si>
    <t>Brookings</t>
  </si>
  <si>
    <t>CEN19LA126</t>
  </si>
  <si>
    <t>2019-04-19</t>
  </si>
  <si>
    <t>Dwight</t>
  </si>
  <si>
    <t>WPR19LA117</t>
  </si>
  <si>
    <t>Grass Valley</t>
  </si>
  <si>
    <t>CEN19LA123</t>
  </si>
  <si>
    <t>2019-04-20</t>
  </si>
  <si>
    <t>St Jacob</t>
  </si>
  <si>
    <t>CEN19LA125</t>
  </si>
  <si>
    <t>St. Cloud</t>
  </si>
  <si>
    <t>GAA19CA218</t>
  </si>
  <si>
    <t>Reedsburg</t>
  </si>
  <si>
    <t>GAA19CA224</t>
  </si>
  <si>
    <t>Bremen</t>
  </si>
  <si>
    <t>Alabama</t>
  </si>
  <si>
    <t>GAA19CA225</t>
  </si>
  <si>
    <t>CEN19FA122</t>
  </si>
  <si>
    <t>2019-04-21</t>
  </si>
  <si>
    <t>Kingsland</t>
  </si>
  <si>
    <t>WPR19LA130</t>
  </si>
  <si>
    <t>Prineville</t>
  </si>
  <si>
    <t>CEN19FA124</t>
  </si>
  <si>
    <t>2019-04-22</t>
  </si>
  <si>
    <t>Kerrville</t>
  </si>
  <si>
    <t>ERA19FA154</t>
  </si>
  <si>
    <t>Cleveland</t>
  </si>
  <si>
    <t>ERA19LA157</t>
  </si>
  <si>
    <t>Holly Springs</t>
  </si>
  <si>
    <t>WPR19FA118</t>
  </si>
  <si>
    <t>Norco</t>
  </si>
  <si>
    <t>WPR19LA120</t>
  </si>
  <si>
    <t>McCall</t>
  </si>
  <si>
    <t>ERA19FA155</t>
  </si>
  <si>
    <t>2019-04-23</t>
  </si>
  <si>
    <t>Henderson</t>
  </si>
  <si>
    <t>ERA19LA156</t>
  </si>
  <si>
    <t>Key West</t>
  </si>
  <si>
    <t>GAA19CA219</t>
  </si>
  <si>
    <t>Morgan</t>
  </si>
  <si>
    <t>GAA19CA220</t>
  </si>
  <si>
    <t>ERA19LA158</t>
  </si>
  <si>
    <t>2019-04-25</t>
  </si>
  <si>
    <t>Elberton</t>
  </si>
  <si>
    <t>WPR19FA121</t>
  </si>
  <si>
    <t>Madera</t>
  </si>
  <si>
    <t>CEN19LA127</t>
  </si>
  <si>
    <t>2019-04-26</t>
  </si>
  <si>
    <t>Sheldon</t>
  </si>
  <si>
    <t>GAA19CA226</t>
  </si>
  <si>
    <t>McMinnville</t>
  </si>
  <si>
    <t>GAA19CA231</t>
  </si>
  <si>
    <t>St Charles</t>
  </si>
  <si>
    <t>GAA19CA237</t>
  </si>
  <si>
    <t>GAA19CA253</t>
  </si>
  <si>
    <t>Gila Bend</t>
  </si>
  <si>
    <t>WPR19LA122</t>
  </si>
  <si>
    <t>Oakridge</t>
  </si>
  <si>
    <t>CEN19CA128</t>
  </si>
  <si>
    <t>2019-04-27</t>
  </si>
  <si>
    <t>La Mesa</t>
  </si>
  <si>
    <t>CEN19LA129</t>
  </si>
  <si>
    <t>Sulphur Spring</t>
  </si>
  <si>
    <t>ERA19LA159</t>
  </si>
  <si>
    <t>Angier</t>
  </si>
  <si>
    <t>GAA19CA227</t>
  </si>
  <si>
    <t>Roosevelt</t>
  </si>
  <si>
    <t>GAA19CA235</t>
  </si>
  <si>
    <t>Winston Salem</t>
  </si>
  <si>
    <t>CEN19TA131</t>
  </si>
  <si>
    <t>2019-04-28</t>
  </si>
  <si>
    <t>Quanah</t>
  </si>
  <si>
    <t>GAA19CA228</t>
  </si>
  <si>
    <t>Lincoln</t>
  </si>
  <si>
    <t>GAA19CA282</t>
  </si>
  <si>
    <t>Edwards Air Force Base</t>
  </si>
  <si>
    <t>WPR19LA125</t>
  </si>
  <si>
    <t>Sequim</t>
  </si>
  <si>
    <t>ERA19LA162</t>
  </si>
  <si>
    <t>2019-04-29</t>
  </si>
  <si>
    <t>Sebastian</t>
  </si>
  <si>
    <t>Emergency Descent</t>
  </si>
  <si>
    <t>GAA19CA372</t>
  </si>
  <si>
    <t>Porterville</t>
  </si>
  <si>
    <t>WPR19FA124</t>
  </si>
  <si>
    <t>Ridgefield</t>
  </si>
  <si>
    <t>ERA19TA166</t>
  </si>
  <si>
    <t>2019-04-30</t>
  </si>
  <si>
    <t>New Bern</t>
  </si>
  <si>
    <t>GAA19CA232</t>
  </si>
  <si>
    <t>Cobden</t>
  </si>
  <si>
    <t>Gyroplane</t>
  </si>
  <si>
    <t>GAA19CA236</t>
  </si>
  <si>
    <t>Wasilla</t>
  </si>
  <si>
    <t>GAA19CA238</t>
  </si>
  <si>
    <t>Sula</t>
  </si>
  <si>
    <t>WPR19TA142</t>
  </si>
  <si>
    <t>Marion</t>
  </si>
  <si>
    <t>ERA19FA161</t>
  </si>
  <si>
    <t>2019-05-01</t>
  </si>
  <si>
    <t>Tyrone</t>
  </si>
  <si>
    <t>GAA19WA248</t>
  </si>
  <si>
    <t>Rigolet, NL</t>
  </si>
  <si>
    <t>Canada</t>
  </si>
  <si>
    <t>WPR19FA126</t>
  </si>
  <si>
    <t>Mill Creek</t>
  </si>
  <si>
    <t>WPR19LA128</t>
  </si>
  <si>
    <t>Sedona</t>
  </si>
  <si>
    <t>WPR19LA129</t>
  </si>
  <si>
    <t>Upland</t>
  </si>
  <si>
    <t>WPR19LA132</t>
  </si>
  <si>
    <t>Woodland</t>
  </si>
  <si>
    <t>CEN19LA133</t>
  </si>
  <si>
    <t>2019-05-02</t>
  </si>
  <si>
    <t>Mineral Wells</t>
  </si>
  <si>
    <t>WPR19TA131</t>
  </si>
  <si>
    <t>Lincoln Park</t>
  </si>
  <si>
    <t>GAA19CA240</t>
  </si>
  <si>
    <t>2019-05-03</t>
  </si>
  <si>
    <t>Orofino</t>
  </si>
  <si>
    <t>GAA19CA241</t>
  </si>
  <si>
    <t>Sonoma</t>
  </si>
  <si>
    <t>Glider</t>
  </si>
  <si>
    <t>GAA19CA251</t>
  </si>
  <si>
    <t>McCarthy</t>
  </si>
  <si>
    <t>GAA19CA281</t>
  </si>
  <si>
    <t>Carvers</t>
  </si>
  <si>
    <t>WPR19LA171</t>
  </si>
  <si>
    <t>Deer Park</t>
  </si>
  <si>
    <t>CEN19FA134</t>
  </si>
  <si>
    <t>2019-05-04</t>
  </si>
  <si>
    <t>New Era</t>
  </si>
  <si>
    <t>ERA19FA163</t>
  </si>
  <si>
    <t>Kent Island</t>
  </si>
  <si>
    <t>GAA19CA243</t>
  </si>
  <si>
    <t>FARIBAULT</t>
  </si>
  <si>
    <t>GAA19CA244</t>
  </si>
  <si>
    <t>VALPARAISO</t>
  </si>
  <si>
    <t>WPR19LA134</t>
  </si>
  <si>
    <t>Kalispell</t>
  </si>
  <si>
    <t>WPR19LA135</t>
  </si>
  <si>
    <t>Oxnard</t>
  </si>
  <si>
    <t>WPR19LA136</t>
  </si>
  <si>
    <t>WPR19LA138</t>
  </si>
  <si>
    <t>ANC19FA018</t>
  </si>
  <si>
    <t>2019-05-05</t>
  </si>
  <si>
    <t>Santa Rosa</t>
  </si>
  <si>
    <t>CEN19FA135</t>
  </si>
  <si>
    <t>Anderson</t>
  </si>
  <si>
    <t>GAA19CA242</t>
  </si>
  <si>
    <t>Sandy Valley</t>
  </si>
  <si>
    <t>GAA19CA246</t>
  </si>
  <si>
    <t>WPR19LA137</t>
  </si>
  <si>
    <t>Sutter</t>
  </si>
  <si>
    <t>WPR19LA139</t>
  </si>
  <si>
    <t>Minden</t>
  </si>
  <si>
    <t>WPR19LA140</t>
  </si>
  <si>
    <t>Red Rock</t>
  </si>
  <si>
    <t>ERA19FA164</t>
  </si>
  <si>
    <t>2019-05-06</t>
  </si>
  <si>
    <t>Foley</t>
  </si>
  <si>
    <t>GAA19CA245</t>
  </si>
  <si>
    <t>Rosendale</t>
  </si>
  <si>
    <t>Turbulence Encounter</t>
  </si>
  <si>
    <t>GAA19CA247</t>
  </si>
  <si>
    <t>Auburn</t>
  </si>
  <si>
    <t>GAA19CA250</t>
  </si>
  <si>
    <t>Denton</t>
  </si>
  <si>
    <t>GAA19CA293</t>
  </si>
  <si>
    <t>Canandaigua</t>
  </si>
  <si>
    <t>WPR19FA133</t>
  </si>
  <si>
    <t>Chelan</t>
  </si>
  <si>
    <t>CEN19FA138</t>
  </si>
  <si>
    <t>2019-05-07</t>
  </si>
  <si>
    <t>Schlater</t>
  </si>
  <si>
    <t>WPR19LA141</t>
  </si>
  <si>
    <t>Boulder City</t>
  </si>
  <si>
    <t>CEN19FA139</t>
  </si>
  <si>
    <t>2019-05-08</t>
  </si>
  <si>
    <t>Moose Lake</t>
  </si>
  <si>
    <t>ERA19LA169</t>
  </si>
  <si>
    <t>2019-05-09</t>
  </si>
  <si>
    <t>Newport News</t>
  </si>
  <si>
    <t>GAA19CA280</t>
  </si>
  <si>
    <t>Charlotte</t>
  </si>
  <si>
    <t>GAA19CA255</t>
  </si>
  <si>
    <t>2019-05-10</t>
  </si>
  <si>
    <t>Roseburg</t>
  </si>
  <si>
    <t>GAA19CA256</t>
  </si>
  <si>
    <t>Logandale</t>
  </si>
  <si>
    <t>CEN19FA140</t>
  </si>
  <si>
    <t>2019-05-11</t>
  </si>
  <si>
    <t>Eagle Lake</t>
  </si>
  <si>
    <t>ERA19FA170</t>
  </si>
  <si>
    <t>Naples</t>
  </si>
  <si>
    <t>GAA19CA257</t>
  </si>
  <si>
    <t>Glades Park</t>
  </si>
  <si>
    <t>GAA19CA258</t>
  </si>
  <si>
    <t>Dexter</t>
  </si>
  <si>
    <t>GAA19CA262</t>
  </si>
  <si>
    <t>Grand Junction</t>
  </si>
  <si>
    <t>GAA19CA264</t>
  </si>
  <si>
    <t>CEN19FA165</t>
  </si>
  <si>
    <t>2019-05-12</t>
  </si>
  <si>
    <t>GAA19CA260</t>
  </si>
  <si>
    <t>Northway</t>
  </si>
  <si>
    <t>GAA19CA263</t>
  </si>
  <si>
    <t>Soldotna</t>
  </si>
  <si>
    <t>GAA19CA259</t>
  </si>
  <si>
    <t>2019-05-13</t>
  </si>
  <si>
    <t>Crossett</t>
  </si>
  <si>
    <t>GAA19CA261</t>
  </si>
  <si>
    <t>Belgrade</t>
  </si>
  <si>
    <t>WPR19LA144</t>
  </si>
  <si>
    <t>CEN19LA169</t>
  </si>
  <si>
    <t>2019-05-14</t>
  </si>
  <si>
    <t>Las Animas</t>
  </si>
  <si>
    <t>GAA19CA266</t>
  </si>
  <si>
    <t>GAA19CA269</t>
  </si>
  <si>
    <t>Tomball</t>
  </si>
  <si>
    <t>WPR19LA157</t>
  </si>
  <si>
    <t>Jerome</t>
  </si>
  <si>
    <t>WPR19LA165</t>
  </si>
  <si>
    <t>Medford</t>
  </si>
  <si>
    <t>CEN19FA143</t>
  </si>
  <si>
    <t>2019-05-15</t>
  </si>
  <si>
    <t>CEN19LA142</t>
  </si>
  <si>
    <t>Centralia</t>
  </si>
  <si>
    <t>ERA19LA171</t>
  </si>
  <si>
    <t>ERA19LA173</t>
  </si>
  <si>
    <t>Hampton</t>
  </si>
  <si>
    <t>GAA19CA267</t>
  </si>
  <si>
    <t>Manvel</t>
  </si>
  <si>
    <t>GAA19CA270</t>
  </si>
  <si>
    <t>Lane City</t>
  </si>
  <si>
    <t>WPR19FA145</t>
  </si>
  <si>
    <t>Pleasant Grove</t>
  </si>
  <si>
    <t>Uncontrolled Descent</t>
  </si>
  <si>
    <t>WPR19FA146</t>
  </si>
  <si>
    <t>Santa Ynez</t>
  </si>
  <si>
    <t>ERA19LA177</t>
  </si>
  <si>
    <t>2019-05-16</t>
  </si>
  <si>
    <t>GAA19CA272</t>
  </si>
  <si>
    <t>Maitland</t>
  </si>
  <si>
    <t>CEN19LA147</t>
  </si>
  <si>
    <t>2019-05-17</t>
  </si>
  <si>
    <t>Yankeetown</t>
  </si>
  <si>
    <t>GAA19CA271</t>
  </si>
  <si>
    <t>Stuttgart</t>
  </si>
  <si>
    <t>WPR19FA148</t>
  </si>
  <si>
    <t>Alpine</t>
  </si>
  <si>
    <t>CEN19FA144</t>
  </si>
  <si>
    <t>2019-05-18</t>
  </si>
  <si>
    <t>Chillicothe</t>
  </si>
  <si>
    <t>CEN19RA145</t>
  </si>
  <si>
    <t>Roatán</t>
  </si>
  <si>
    <t>Honduras</t>
  </si>
  <si>
    <t>GAA19CA292</t>
  </si>
  <si>
    <t>Bradford</t>
  </si>
  <si>
    <t>GAA19CA310</t>
  </si>
  <si>
    <t>GAA19CA296</t>
  </si>
  <si>
    <t>2019-05-19</t>
  </si>
  <si>
    <t>Orangeburg</t>
  </si>
  <si>
    <t>GAA19CA373</t>
  </si>
  <si>
    <t>Blairesville</t>
  </si>
  <si>
    <t>WPR19FA150</t>
  </si>
  <si>
    <t>ERA19WA176</t>
  </si>
  <si>
    <t>2019-05-21</t>
  </si>
  <si>
    <t>La Vega</t>
  </si>
  <si>
    <t>Dominican Republic</t>
  </si>
  <si>
    <t>GAA19CA277</t>
  </si>
  <si>
    <t>Pearsall</t>
  </si>
  <si>
    <t>WPR19FA152</t>
  </si>
  <si>
    <t>Whittier</t>
  </si>
  <si>
    <t>CEN19FA148</t>
  </si>
  <si>
    <t>2019-05-22</t>
  </si>
  <si>
    <t>Greenfield</t>
  </si>
  <si>
    <t>CEN19LA149</t>
  </si>
  <si>
    <t>Raymond</t>
  </si>
  <si>
    <t>GAA19CA276</t>
  </si>
  <si>
    <t>Louisa</t>
  </si>
  <si>
    <t>WPR19LA153</t>
  </si>
  <si>
    <t>CEN19LA150</t>
  </si>
  <si>
    <t>2019-05-23</t>
  </si>
  <si>
    <t>McKinney</t>
  </si>
  <si>
    <t>ERA19TA192</t>
  </si>
  <si>
    <t>Stafford</t>
  </si>
  <si>
    <t>GAA19CA278</t>
  </si>
  <si>
    <t>Pittsfield</t>
  </si>
  <si>
    <t>GAA19CA279</t>
  </si>
  <si>
    <t>St. Louis</t>
  </si>
  <si>
    <t>GAA19CA312</t>
  </si>
  <si>
    <t>Nogalas</t>
  </si>
  <si>
    <t>ERA19LA180</t>
  </si>
  <si>
    <t>2019-05-24</t>
  </si>
  <si>
    <t>GAA19CA283</t>
  </si>
  <si>
    <t>Grangeville</t>
  </si>
  <si>
    <t>GAA19CA284</t>
  </si>
  <si>
    <t>WPR19FA154</t>
  </si>
  <si>
    <t>Grover</t>
  </si>
  <si>
    <t>Icing</t>
  </si>
  <si>
    <t>CEN19LA153</t>
  </si>
  <si>
    <t>2019-05-25</t>
  </si>
  <si>
    <t>CEN19LA156</t>
  </si>
  <si>
    <t>Oakes</t>
  </si>
  <si>
    <t>ERA19FA179</t>
  </si>
  <si>
    <t>St. Simons Island</t>
  </si>
  <si>
    <t>GAA19CA285</t>
  </si>
  <si>
    <t>Cody</t>
  </si>
  <si>
    <t>GAA19CA286</t>
  </si>
  <si>
    <t>Takotna</t>
  </si>
  <si>
    <t>GAA19CA287</t>
  </si>
  <si>
    <t>East Haddam</t>
  </si>
  <si>
    <t>GAA19CA337</t>
  </si>
  <si>
    <t>Fort Drum</t>
  </si>
  <si>
    <t>CEN19LA152</t>
  </si>
  <si>
    <t>2019-05-26</t>
  </si>
  <si>
    <t>Poplar Grove</t>
  </si>
  <si>
    <t>GAA19CA288</t>
  </si>
  <si>
    <t>Carbondale</t>
  </si>
  <si>
    <t>WPR19LA155</t>
  </si>
  <si>
    <t>Garberville</t>
  </si>
  <si>
    <t>ANC19WA020</t>
  </si>
  <si>
    <t>2019-05-27</t>
  </si>
  <si>
    <t>Whitehorse</t>
  </si>
  <si>
    <t>CEN19LA157</t>
  </si>
  <si>
    <t>Palm City</t>
  </si>
  <si>
    <t>ERA19TA182</t>
  </si>
  <si>
    <t>Concord</t>
  </si>
  <si>
    <t>GAA19CA289</t>
  </si>
  <si>
    <t>Fisher</t>
  </si>
  <si>
    <t>GAA19CA358</t>
  </si>
  <si>
    <t>Bowie</t>
  </si>
  <si>
    <t>CEN19FA155</t>
  </si>
  <si>
    <t>2019-05-28</t>
  </si>
  <si>
    <t>Mertzon</t>
  </si>
  <si>
    <t>ERA19FA181</t>
  </si>
  <si>
    <t>Auburn Township</t>
  </si>
  <si>
    <t>GAA19CA108</t>
  </si>
  <si>
    <t>Hollister</t>
  </si>
  <si>
    <t>GAA19CA294</t>
  </si>
  <si>
    <t>Hilton Head</t>
  </si>
  <si>
    <t>WPR19LA168</t>
  </si>
  <si>
    <t>Brewster</t>
  </si>
  <si>
    <t>CEN19LA158</t>
  </si>
  <si>
    <t>2019-05-29</t>
  </si>
  <si>
    <t>ERA19FA183</t>
  </si>
  <si>
    <t>Green Cove Springs</t>
  </si>
  <si>
    <t>ERA19FA184</t>
  </si>
  <si>
    <t>Cape May</t>
  </si>
  <si>
    <t>GAA19CA295</t>
  </si>
  <si>
    <t>Salida</t>
  </si>
  <si>
    <t>ANC19FA021</t>
  </si>
  <si>
    <t>2019-05-30</t>
  </si>
  <si>
    <t>CEN19LA159</t>
  </si>
  <si>
    <t>Cleburne</t>
  </si>
  <si>
    <t>GAA19CA305</t>
  </si>
  <si>
    <t>Fairbanks</t>
  </si>
  <si>
    <t>GAA19CA353</t>
  </si>
  <si>
    <t>Festus</t>
  </si>
  <si>
    <t>GAA19CA298</t>
  </si>
  <si>
    <t>2019-05-31</t>
  </si>
  <si>
    <t>Sparta</t>
  </si>
  <si>
    <t>GAA19CA299</t>
  </si>
  <si>
    <t>San Antonio</t>
  </si>
  <si>
    <t>GAA19CA303</t>
  </si>
  <si>
    <t>Rockford</t>
  </si>
  <si>
    <t>GAA19CA318</t>
  </si>
  <si>
    <t>Youngstown</t>
  </si>
  <si>
    <t>GAA19CA422</t>
  </si>
  <si>
    <t>Willimantic</t>
  </si>
  <si>
    <t>GAA19CA041</t>
  </si>
  <si>
    <t>2019-06-01</t>
  </si>
  <si>
    <t>Paola</t>
  </si>
  <si>
    <t>GAA19CA300</t>
  </si>
  <si>
    <t>Rose Hill</t>
  </si>
  <si>
    <t>GAA19CA301</t>
  </si>
  <si>
    <t>Heber</t>
  </si>
  <si>
    <t>GAA19CA304</t>
  </si>
  <si>
    <t>Flippin</t>
  </si>
  <si>
    <t>GAA19CA307</t>
  </si>
  <si>
    <t>Junction City</t>
  </si>
  <si>
    <t>CEN19FA160</t>
  </si>
  <si>
    <t>2019-06-02</t>
  </si>
  <si>
    <t>Cass</t>
  </si>
  <si>
    <t>GAA19CA302</t>
  </si>
  <si>
    <t>Gunnison</t>
  </si>
  <si>
    <t>GAA19CA306</t>
  </si>
  <si>
    <t>GAA19CA309</t>
  </si>
  <si>
    <t>GAA19CA311</t>
  </si>
  <si>
    <t>2019-06-03</t>
  </si>
  <si>
    <t>Culpeper</t>
  </si>
  <si>
    <t>DCA19LA154</t>
  </si>
  <si>
    <t>2019-06-04</t>
  </si>
  <si>
    <t>Manassas</t>
  </si>
  <si>
    <t>ERA19LA186</t>
  </si>
  <si>
    <t>DANBURY</t>
  </si>
  <si>
    <t>ERA19TA185</t>
  </si>
  <si>
    <t>Robertsdale</t>
  </si>
  <si>
    <t>GAA19CA313</t>
  </si>
  <si>
    <t>Renton</t>
  </si>
  <si>
    <t>WPR19FA159</t>
  </si>
  <si>
    <t>Summerville</t>
  </si>
  <si>
    <t>GAA19CA314</t>
  </si>
  <si>
    <t>2019-06-05</t>
  </si>
  <si>
    <t>GAA19CA316</t>
  </si>
  <si>
    <t>Dillingham</t>
  </si>
  <si>
    <t>GAA19CA317</t>
  </si>
  <si>
    <t>Paducah</t>
  </si>
  <si>
    <t>ERA19LA187</t>
  </si>
  <si>
    <t>2019-06-06</t>
  </si>
  <si>
    <t>Frederick</t>
  </si>
  <si>
    <t>ERA19TA195</t>
  </si>
  <si>
    <t>Westminster</t>
  </si>
  <si>
    <t>GAA19CA319</t>
  </si>
  <si>
    <t>Weiner</t>
  </si>
  <si>
    <t>GAA19CA329</t>
  </si>
  <si>
    <t>GAA19CA344</t>
  </si>
  <si>
    <t>Bethel</t>
  </si>
  <si>
    <t>WPR19LA160</t>
  </si>
  <si>
    <t>Davis City</t>
  </si>
  <si>
    <t>ERA19FA188</t>
  </si>
  <si>
    <t>2019-06-07</t>
  </si>
  <si>
    <t>Castalia</t>
  </si>
  <si>
    <t>GAA19CA320</t>
  </si>
  <si>
    <t>GAA19CA327</t>
  </si>
  <si>
    <t>Gulkana</t>
  </si>
  <si>
    <t>GAA19CA328</t>
  </si>
  <si>
    <t>Monument</t>
  </si>
  <si>
    <t>GAA19CA330</t>
  </si>
  <si>
    <t>Terre Haute</t>
  </si>
  <si>
    <t>GAA19CA331</t>
  </si>
  <si>
    <t>Lee's Summit</t>
  </si>
  <si>
    <t>GAA19CA350</t>
  </si>
  <si>
    <t>Nowdoinham</t>
  </si>
  <si>
    <t>GAA19CA355</t>
  </si>
  <si>
    <t>CEN19LA162</t>
  </si>
  <si>
    <t>2019-06-08</t>
  </si>
  <si>
    <t>Last Chance</t>
  </si>
  <si>
    <t>ERA19FA189</t>
  </si>
  <si>
    <t>Southold</t>
  </si>
  <si>
    <t>GAA19CA321</t>
  </si>
  <si>
    <t>Moses Lake</t>
  </si>
  <si>
    <t>GAA19CA326</t>
  </si>
  <si>
    <t>ORLANDO</t>
  </si>
  <si>
    <t>GAA19CA332</t>
  </si>
  <si>
    <t>WPR19FA161</t>
  </si>
  <si>
    <t>Hemet</t>
  </si>
  <si>
    <t>WPR19TA162</t>
  </si>
  <si>
    <t>GAA19CA322</t>
  </si>
  <si>
    <t>2019-06-09</t>
  </si>
  <si>
    <t>Trenton</t>
  </si>
  <si>
    <t>GAA19CA323</t>
  </si>
  <si>
    <t>Yellow Pine</t>
  </si>
  <si>
    <t>GAA19CA324</t>
  </si>
  <si>
    <t>South Lake Tahoe</t>
  </si>
  <si>
    <t>GAA19CA325</t>
  </si>
  <si>
    <t>Pingree</t>
  </si>
  <si>
    <t>GAA19CA333</t>
  </si>
  <si>
    <t>GAA19CA335</t>
  </si>
  <si>
    <t>Moriarty</t>
  </si>
  <si>
    <t>GAA19CA354</t>
  </si>
  <si>
    <t>La Ward</t>
  </si>
  <si>
    <t>GAA19CA476</t>
  </si>
  <si>
    <t>GAA19WA391</t>
  </si>
  <si>
    <t>Mulakot</t>
  </si>
  <si>
    <t>Iceland</t>
  </si>
  <si>
    <t>WPR19FA163</t>
  </si>
  <si>
    <t>Antioch</t>
  </si>
  <si>
    <t>CEN19FA161</t>
  </si>
  <si>
    <t>2019-06-10</t>
  </si>
  <si>
    <t>Butler</t>
  </si>
  <si>
    <t>CEN19LA168</t>
  </si>
  <si>
    <t>Jacksonville</t>
  </si>
  <si>
    <t>Firefighting</t>
  </si>
  <si>
    <t>ERA19FA191</t>
  </si>
  <si>
    <t>GAA19CA336</t>
  </si>
  <si>
    <t>Ontario</t>
  </si>
  <si>
    <t>GAA19CA338</t>
  </si>
  <si>
    <t>GAA19CA345</t>
  </si>
  <si>
    <t>WPR19LA166</t>
  </si>
  <si>
    <t>Romona</t>
  </si>
  <si>
    <t>ANC19LA027</t>
  </si>
  <si>
    <t>2019-06-11</t>
  </si>
  <si>
    <t>Hope</t>
  </si>
  <si>
    <t>CEN19LA163</t>
  </si>
  <si>
    <t>Switz City</t>
  </si>
  <si>
    <t>GAA19CA343</t>
  </si>
  <si>
    <t>Soldatna</t>
  </si>
  <si>
    <t>GAA19CA346</t>
  </si>
  <si>
    <t>Greenville</t>
  </si>
  <si>
    <t>Aerodrome</t>
  </si>
  <si>
    <t>WPR19LA167</t>
  </si>
  <si>
    <t>Phoenix</t>
  </si>
  <si>
    <t>ANC19LA024</t>
  </si>
  <si>
    <t>2019-06-12</t>
  </si>
  <si>
    <t>Nome Creek</t>
  </si>
  <si>
    <t>CEN19LA166</t>
  </si>
  <si>
    <t>ERA19FA193</t>
  </si>
  <si>
    <t>GAA19CA340</t>
  </si>
  <si>
    <t>Cambridge</t>
  </si>
  <si>
    <t>WPR19LA169</t>
  </si>
  <si>
    <t>CEN19LA167</t>
  </si>
  <si>
    <t>2019-06-13</t>
  </si>
  <si>
    <t>Hawkins</t>
  </si>
  <si>
    <t>CEN19LA173</t>
  </si>
  <si>
    <t>Quinlan</t>
  </si>
  <si>
    <t>CEN19LA176</t>
  </si>
  <si>
    <t>Hector</t>
  </si>
  <si>
    <t>GAA19CA339</t>
  </si>
  <si>
    <t>San Benito</t>
  </si>
  <si>
    <t>WPR19LA170</t>
  </si>
  <si>
    <t>Stanley</t>
  </si>
  <si>
    <t>CEN19FA170</t>
  </si>
  <si>
    <t>2019-06-14</t>
  </si>
  <si>
    <t>Huntsville</t>
  </si>
  <si>
    <t>CEN19LA172</t>
  </si>
  <si>
    <t>Hedgesville</t>
  </si>
  <si>
    <t>West Virginia</t>
  </si>
  <si>
    <t>GAA19CA351</t>
  </si>
  <si>
    <t>Culpepper</t>
  </si>
  <si>
    <t>GAA19CA362</t>
  </si>
  <si>
    <t>ERA19LA197</t>
  </si>
  <si>
    <t>2019-06-15</t>
  </si>
  <si>
    <t>Crisfield</t>
  </si>
  <si>
    <t>GAA19CA347</t>
  </si>
  <si>
    <t>GAA19CA349</t>
  </si>
  <si>
    <t>Beluga</t>
  </si>
  <si>
    <t>GAA19CA367</t>
  </si>
  <si>
    <t>WPR19FA172</t>
  </si>
  <si>
    <t>Porter Ranch</t>
  </si>
  <si>
    <t>WPR19LA174</t>
  </si>
  <si>
    <t>GAA19CA348</t>
  </si>
  <si>
    <t>2019-06-16</t>
  </si>
  <si>
    <t>WPR19FA173</t>
  </si>
  <si>
    <t>Copperopolis</t>
  </si>
  <si>
    <t>CEN19LA174</t>
  </si>
  <si>
    <t>2019-06-17</t>
  </si>
  <si>
    <t>ERA19FA196</t>
  </si>
  <si>
    <t>Endicott</t>
  </si>
  <si>
    <t>ERA19LA199</t>
  </si>
  <si>
    <t>Readington</t>
  </si>
  <si>
    <t>GAA19CA352</t>
  </si>
  <si>
    <t>Liberal</t>
  </si>
  <si>
    <t>GAA19CA361</t>
  </si>
  <si>
    <t>Ledgedale</t>
  </si>
  <si>
    <t>GAA19CA364</t>
  </si>
  <si>
    <t>Hewitt Lake</t>
  </si>
  <si>
    <t>GAA19CA485</t>
  </si>
  <si>
    <t>Yuba</t>
  </si>
  <si>
    <t>WPR19FA175</t>
  </si>
  <si>
    <t>Two Harbors</t>
  </si>
  <si>
    <t>CEN19LA175</t>
  </si>
  <si>
    <t>2019-06-18</t>
  </si>
  <si>
    <t>Knoxville</t>
  </si>
  <si>
    <t>GAA19CA359</t>
  </si>
  <si>
    <t>Nephi</t>
  </si>
  <si>
    <t>GAA19CA370</t>
  </si>
  <si>
    <t>2019-06-19</t>
  </si>
  <si>
    <t>Friday Creek</t>
  </si>
  <si>
    <t>CEN19FA177</t>
  </si>
  <si>
    <t>2019-06-20</t>
  </si>
  <si>
    <t>Elida</t>
  </si>
  <si>
    <t>GAA19CA363</t>
  </si>
  <si>
    <t>Elkader</t>
  </si>
  <si>
    <t>GAA19CA426</t>
  </si>
  <si>
    <t>WPR19LA176</t>
  </si>
  <si>
    <t>ANC19FA026</t>
  </si>
  <si>
    <t>2019-06-21</t>
  </si>
  <si>
    <t>CEN19LA179</t>
  </si>
  <si>
    <t>Cottrellville Township</t>
  </si>
  <si>
    <t>CEN19TA178</t>
  </si>
  <si>
    <t>DCA19CA170</t>
  </si>
  <si>
    <t>Beeville</t>
  </si>
  <si>
    <t>ERA19LA202</t>
  </si>
  <si>
    <t>Jasper</t>
  </si>
  <si>
    <t>GAA19CA365</t>
  </si>
  <si>
    <t>Burley</t>
  </si>
  <si>
    <t>GAA19CA366</t>
  </si>
  <si>
    <t>Yerington</t>
  </si>
  <si>
    <t>GAA19CA369</t>
  </si>
  <si>
    <t>Imnaha</t>
  </si>
  <si>
    <t>GAA19CA379</t>
  </si>
  <si>
    <t>Grotten</t>
  </si>
  <si>
    <t>WPR19MA177</t>
  </si>
  <si>
    <t>Mokuleia</t>
  </si>
  <si>
    <t>Skydiving</t>
  </si>
  <si>
    <t>CEN19LA204</t>
  </si>
  <si>
    <t>2019-06-22</t>
  </si>
  <si>
    <t>Bar Harbor</t>
  </si>
  <si>
    <t>CEN19LA213</t>
  </si>
  <si>
    <t>Smithfield</t>
  </si>
  <si>
    <t>Rhode Island</t>
  </si>
  <si>
    <t>CEN19TA180</t>
  </si>
  <si>
    <t>GAA19CA368</t>
  </si>
  <si>
    <t>GAA19CA415</t>
  </si>
  <si>
    <t>Panama City</t>
  </si>
  <si>
    <t>WPR19FA178</t>
  </si>
  <si>
    <t>Sunriver</t>
  </si>
  <si>
    <t>CEN19LA184</t>
  </si>
  <si>
    <t>2019-06-23</t>
  </si>
  <si>
    <t>Vine Grove</t>
  </si>
  <si>
    <t>GAA19CA413</t>
  </si>
  <si>
    <t>CEN19LA183</t>
  </si>
  <si>
    <t>2019-06-24</t>
  </si>
  <si>
    <t>Greeley</t>
  </si>
  <si>
    <t>ERA19LA206</t>
  </si>
  <si>
    <t>Gainesville</t>
  </si>
  <si>
    <t>GAA19CA371</t>
  </si>
  <si>
    <t>Presidio</t>
  </si>
  <si>
    <t>GAA19CA383</t>
  </si>
  <si>
    <t>2019-06-25</t>
  </si>
  <si>
    <t>CEN19TA196</t>
  </si>
  <si>
    <t>2019-06-26</t>
  </si>
  <si>
    <t>Gilliam</t>
  </si>
  <si>
    <t>ERA19FA200</t>
  </si>
  <si>
    <t>Fletcher</t>
  </si>
  <si>
    <t>GAA19CA403</t>
  </si>
  <si>
    <t>GAA19CA427</t>
  </si>
  <si>
    <t>Caldwell</t>
  </si>
  <si>
    <t>GAA19CA435</t>
  </si>
  <si>
    <t>State College</t>
  </si>
  <si>
    <t>WPR19FAMS1</t>
  </si>
  <si>
    <t>Pescadero</t>
  </si>
  <si>
    <t>CEN19LA188</t>
  </si>
  <si>
    <t>2019-06-27</t>
  </si>
  <si>
    <t>Janesville</t>
  </si>
  <si>
    <t>ERA19FA201</t>
  </si>
  <si>
    <t>Hope Mills</t>
  </si>
  <si>
    <t>ERA19LA219</t>
  </si>
  <si>
    <t>Williamson</t>
  </si>
  <si>
    <t>GAA19CA374</t>
  </si>
  <si>
    <t>GAA19CA377</t>
  </si>
  <si>
    <t>Pleasanton</t>
  </si>
  <si>
    <t>GAA19CA385</t>
  </si>
  <si>
    <t>GAA19CA395</t>
  </si>
  <si>
    <t>Gillette</t>
  </si>
  <si>
    <t>GAA19WA386</t>
  </si>
  <si>
    <t>Chimaitenango, Guatemala</t>
  </si>
  <si>
    <t>Guatemala</t>
  </si>
  <si>
    <t>WPR19LA179</t>
  </si>
  <si>
    <t>ANC19FA029</t>
  </si>
  <si>
    <t>2019-06-28</t>
  </si>
  <si>
    <t>Moose Pass</t>
  </si>
  <si>
    <t>CEN19FA189</t>
  </si>
  <si>
    <t>Hiawatha</t>
  </si>
  <si>
    <t>CEN19LA186</t>
  </si>
  <si>
    <t>CEN19LA187</t>
  </si>
  <si>
    <t>Danbury</t>
  </si>
  <si>
    <t>ERA19LA217</t>
  </si>
  <si>
    <t>Leesburg</t>
  </si>
  <si>
    <t>GAA19CA375</t>
  </si>
  <si>
    <t>GAA19CA378</t>
  </si>
  <si>
    <t>GAA19CA436</t>
  </si>
  <si>
    <t>CEN19LA193</t>
  </si>
  <si>
    <t>2019-06-29</t>
  </si>
  <si>
    <t>Garwood</t>
  </si>
  <si>
    <t>CEN19LA198</t>
  </si>
  <si>
    <t>Joplin</t>
  </si>
  <si>
    <t>CEN19LA199</t>
  </si>
  <si>
    <t>CEN19LA202</t>
  </si>
  <si>
    <t>Zelienople</t>
  </si>
  <si>
    <t>ERA19TA204</t>
  </si>
  <si>
    <t>Parsons</t>
  </si>
  <si>
    <t>ERA19TA211</t>
  </si>
  <si>
    <t>Plant City</t>
  </si>
  <si>
    <t>ERA19TA216</t>
  </si>
  <si>
    <t>Pickens</t>
  </si>
  <si>
    <t>ERA19WA207</t>
  </si>
  <si>
    <t>Cabo Rojo</t>
  </si>
  <si>
    <t>GAA19CA380</t>
  </si>
  <si>
    <t>Norwich</t>
  </si>
  <si>
    <t>GAA19CA382</t>
  </si>
  <si>
    <t>Brunswick</t>
  </si>
  <si>
    <t>GAA19CA399</t>
  </si>
  <si>
    <t>Blairstown</t>
  </si>
  <si>
    <t>GAA19CA400</t>
  </si>
  <si>
    <t>Navasota</t>
  </si>
  <si>
    <t>GAA19CA477</t>
  </si>
  <si>
    <t>Greer</t>
  </si>
  <si>
    <t>WPR19LA180</t>
  </si>
  <si>
    <t>WPR19LA181</t>
  </si>
  <si>
    <t>CEN19FA191</t>
  </si>
  <si>
    <t>2019-06-30</t>
  </si>
  <si>
    <t>Elyria</t>
  </si>
  <si>
    <t>CEN19MA190</t>
  </si>
  <si>
    <t>Addison</t>
  </si>
  <si>
    <t>GAA19CA376</t>
  </si>
  <si>
    <t>GAA19CA434</t>
  </si>
  <si>
    <t>GAA19CA439</t>
  </si>
  <si>
    <t>Manteo</t>
  </si>
  <si>
    <t>WPR19FA182</t>
  </si>
  <si>
    <t>Moab</t>
  </si>
  <si>
    <t>WPR19LA184</t>
  </si>
  <si>
    <t>WPR19LA187</t>
  </si>
  <si>
    <t>Ludlow</t>
  </si>
  <si>
    <t>WPR19TA186</t>
  </si>
  <si>
    <t>San Bernardino</t>
  </si>
  <si>
    <t>CEN19FA195</t>
  </si>
  <si>
    <t>2019-07-01</t>
  </si>
  <si>
    <t>Orleans</t>
  </si>
  <si>
    <t>CEN19LA194</t>
  </si>
  <si>
    <t>Fort Smith</t>
  </si>
  <si>
    <t>GAA19CA381</t>
  </si>
  <si>
    <t>Coeur d'Alene</t>
  </si>
  <si>
    <t>GAA19CA384</t>
  </si>
  <si>
    <t>Cheyenne</t>
  </si>
  <si>
    <t>WPR19FA183</t>
  </si>
  <si>
    <t>Ephraim</t>
  </si>
  <si>
    <t>ERA19TA222</t>
  </si>
  <si>
    <t>2019-07-02</t>
  </si>
  <si>
    <t>GAA19CA390</t>
  </si>
  <si>
    <t>Tracy</t>
  </si>
  <si>
    <t>GAA19CA393</t>
  </si>
  <si>
    <t>ERA19LA214</t>
  </si>
  <si>
    <t>2019-07-03</t>
  </si>
  <si>
    <t>Haverhill</t>
  </si>
  <si>
    <t>GAA19CA407</t>
  </si>
  <si>
    <t>Montville</t>
  </si>
  <si>
    <t>WPR19LA185</t>
  </si>
  <si>
    <t>Waikoloa Village</t>
  </si>
  <si>
    <t>CEN19LA206</t>
  </si>
  <si>
    <t>2019-07-04</t>
  </si>
  <si>
    <t>Reeves</t>
  </si>
  <si>
    <t>CEN19LA207</t>
  </si>
  <si>
    <t>Houston</t>
  </si>
  <si>
    <t>CEN19TA205</t>
  </si>
  <si>
    <t>Vaiden</t>
  </si>
  <si>
    <t>ERA19FA210</t>
  </si>
  <si>
    <t>Big Grand Cay</t>
  </si>
  <si>
    <t>Bahamas</t>
  </si>
  <si>
    <t>GAA19CA394</t>
  </si>
  <si>
    <t>Casper</t>
  </si>
  <si>
    <t>GAA19CA431</t>
  </si>
  <si>
    <t>Tavernier</t>
  </si>
  <si>
    <t>CEN19FA210</t>
  </si>
  <si>
    <t>2019-07-05</t>
  </si>
  <si>
    <t>Chebanse</t>
  </si>
  <si>
    <t>GAA19CA388</t>
  </si>
  <si>
    <t>CEN19FA211</t>
  </si>
  <si>
    <t>2019-07-06</t>
  </si>
  <si>
    <t>Brandon</t>
  </si>
  <si>
    <t>CEN19FA212</t>
  </si>
  <si>
    <t>Oxford</t>
  </si>
  <si>
    <t>CEN19LA214</t>
  </si>
  <si>
    <t>Bay City</t>
  </si>
  <si>
    <t>CEN19LA219</t>
  </si>
  <si>
    <t>Hazen</t>
  </si>
  <si>
    <t>GAA19CA387</t>
  </si>
  <si>
    <t>Seldovia</t>
  </si>
  <si>
    <t>GAA19CA389</t>
  </si>
  <si>
    <t>Paris</t>
  </si>
  <si>
    <t>GAA19CA396</t>
  </si>
  <si>
    <t>Anacortes</t>
  </si>
  <si>
    <t>ERA19TA223</t>
  </si>
  <si>
    <t>2019-07-07</t>
  </si>
  <si>
    <t>Okeechobee</t>
  </si>
  <si>
    <t>GAA19CA392</t>
  </si>
  <si>
    <t>Westfield</t>
  </si>
  <si>
    <t>ANC19LA032</t>
  </si>
  <si>
    <t>2019-07-08</t>
  </si>
  <si>
    <t>Newport</t>
  </si>
  <si>
    <t>CEN19LA216</t>
  </si>
  <si>
    <t>Kaneville</t>
  </si>
  <si>
    <t>CEN19LA245</t>
  </si>
  <si>
    <t>Water Valley</t>
  </si>
  <si>
    <t>ERA19TA213</t>
  </si>
  <si>
    <t>Franklin</t>
  </si>
  <si>
    <t>CEN19LA215</t>
  </si>
  <si>
    <t>2019-07-09</t>
  </si>
  <si>
    <t>Sidney</t>
  </si>
  <si>
    <t>GAA19CA430</t>
  </si>
  <si>
    <t>GAA19CA438</t>
  </si>
  <si>
    <t>Columbia Station</t>
  </si>
  <si>
    <t>WPR19LA207</t>
  </si>
  <si>
    <t>Klamath Falls</t>
  </si>
  <si>
    <t>CEN19LA217</t>
  </si>
  <si>
    <t>2019-07-10</t>
  </si>
  <si>
    <t>Ypsilanti</t>
  </si>
  <si>
    <t>GAA19CA398</t>
  </si>
  <si>
    <t>Petersburg</t>
  </si>
  <si>
    <t>GAA19CA401</t>
  </si>
  <si>
    <t>Vineyard Haven</t>
  </si>
  <si>
    <t>GAA19CA404</t>
  </si>
  <si>
    <t>Saipan</t>
  </si>
  <si>
    <t>GAA19CA466</t>
  </si>
  <si>
    <t>ANC19FA033</t>
  </si>
  <si>
    <t>2019-07-11</t>
  </si>
  <si>
    <t>Ketchikan</t>
  </si>
  <si>
    <t>CEN19FA218</t>
  </si>
  <si>
    <t>Hawley</t>
  </si>
  <si>
    <t>CEN19LA220</t>
  </si>
  <si>
    <t>Wheeling</t>
  </si>
  <si>
    <t>GAA19CA402</t>
  </si>
  <si>
    <t>GAA19CA406</t>
  </si>
  <si>
    <t>GAA19WA478</t>
  </si>
  <si>
    <t>Bucaramanga</t>
  </si>
  <si>
    <t>Colombia</t>
  </si>
  <si>
    <t>GAA19CA408</t>
  </si>
  <si>
    <t>2019-07-12</t>
  </si>
  <si>
    <t>Hamilton</t>
  </si>
  <si>
    <t>GAA19CA467</t>
  </si>
  <si>
    <t>CEN19FA221</t>
  </si>
  <si>
    <t>2019-07-13</t>
  </si>
  <si>
    <t>CEN19LA222</t>
  </si>
  <si>
    <t>Clinton</t>
  </si>
  <si>
    <t>ERA19FA225</t>
  </si>
  <si>
    <t>Oliver Springs</t>
  </si>
  <si>
    <t>ERA19LA224</t>
  </si>
  <si>
    <t>Carlisle</t>
  </si>
  <si>
    <t>ERA19LA226</t>
  </si>
  <si>
    <t>Summit</t>
  </si>
  <si>
    <t>GAA19CA409</t>
  </si>
  <si>
    <t>WPR19LA194</t>
  </si>
  <si>
    <t>Mosby</t>
  </si>
  <si>
    <t>CEN19LA223</t>
  </si>
  <si>
    <t>2019-07-14</t>
  </si>
  <si>
    <t>Elkhart</t>
  </si>
  <si>
    <t>CEN19LA224</t>
  </si>
  <si>
    <t>Osceola</t>
  </si>
  <si>
    <t>CEN19LA225</t>
  </si>
  <si>
    <t>Knox</t>
  </si>
  <si>
    <t>ERA19LA227</t>
  </si>
  <si>
    <t>Hastings</t>
  </si>
  <si>
    <t>GAA19CA411</t>
  </si>
  <si>
    <t>GAA19CA412</t>
  </si>
  <si>
    <t>Elkton</t>
  </si>
  <si>
    <t>GAA19CA447</t>
  </si>
  <si>
    <t>Sparks</t>
  </si>
  <si>
    <t>WPR19LA190</t>
  </si>
  <si>
    <t>Cascade</t>
  </si>
  <si>
    <t>GAA19CA416</t>
  </si>
  <si>
    <t>2019-07-15</t>
  </si>
  <si>
    <t>York</t>
  </si>
  <si>
    <t>GAA19CA421</t>
  </si>
  <si>
    <t>Lompoc</t>
  </si>
  <si>
    <t>GAA19CA437</t>
  </si>
  <si>
    <t>Bancroft</t>
  </si>
  <si>
    <t>GAA19CA487</t>
  </si>
  <si>
    <t>Bison</t>
  </si>
  <si>
    <t>WPR19FA188</t>
  </si>
  <si>
    <t>Hayward</t>
  </si>
  <si>
    <t>WPR19LA195</t>
  </si>
  <si>
    <t>Hurricane</t>
  </si>
  <si>
    <t>ANC19LA034</t>
  </si>
  <si>
    <t>2019-07-16</t>
  </si>
  <si>
    <t>Ocean City</t>
  </si>
  <si>
    <t>CEN19LA226</t>
  </si>
  <si>
    <t>Detroit Lakes</t>
  </si>
  <si>
    <t>ERA19LA228</t>
  </si>
  <si>
    <t>Gainesboro</t>
  </si>
  <si>
    <t>ERA19LA229</t>
  </si>
  <si>
    <t>Crescent</t>
  </si>
  <si>
    <t>GAA19CA423</t>
  </si>
  <si>
    <t>Salmon</t>
  </si>
  <si>
    <t>GAA19CA424</t>
  </si>
  <si>
    <t>Grand Canyon</t>
  </si>
  <si>
    <t>GAA19CA425</t>
  </si>
  <si>
    <t>Brownville</t>
  </si>
  <si>
    <t>GAA19CA428</t>
  </si>
  <si>
    <t>Council Bluff</t>
  </si>
  <si>
    <t>WPR19LA189</t>
  </si>
  <si>
    <t>Aumsville</t>
  </si>
  <si>
    <t>WPR19LA191</t>
  </si>
  <si>
    <t>2019-07-17</t>
  </si>
  <si>
    <t>Alvord Desert</t>
  </si>
  <si>
    <t>Glider tow</t>
  </si>
  <si>
    <t>WPR19TA193</t>
  </si>
  <si>
    <t>Mesquite</t>
  </si>
  <si>
    <t>GAA19CA433</t>
  </si>
  <si>
    <t>2019-07-18</t>
  </si>
  <si>
    <t>WPR19LA192</t>
  </si>
  <si>
    <t>Draper</t>
  </si>
  <si>
    <t>ERA19LA231</t>
  </si>
  <si>
    <t>2019-07-19</t>
  </si>
  <si>
    <t>Poughkeepsie</t>
  </si>
  <si>
    <t>ERA19LA232</t>
  </si>
  <si>
    <t>ERA19TA233</t>
  </si>
  <si>
    <t>GAA19CA440</t>
  </si>
  <si>
    <t>GAA19CA445</t>
  </si>
  <si>
    <t>GAA19CA450</t>
  </si>
  <si>
    <t>Cove</t>
  </si>
  <si>
    <t>WPR19LA196</t>
  </si>
  <si>
    <t>The Dalles</t>
  </si>
  <si>
    <t>ANC19TA037</t>
  </si>
  <si>
    <t>2019-07-20</t>
  </si>
  <si>
    <t>CEN19CA227</t>
  </si>
  <si>
    <t>Oshkosh</t>
  </si>
  <si>
    <t>CEN19FA235</t>
  </si>
  <si>
    <t>Kilgore</t>
  </si>
  <si>
    <t>GAA19CA443</t>
  </si>
  <si>
    <t>Jefferson City</t>
  </si>
  <si>
    <t>GAA19CA446</t>
  </si>
  <si>
    <t>WPR19CA197</t>
  </si>
  <si>
    <t>WPR19LA200</t>
  </si>
  <si>
    <t>Battleground</t>
  </si>
  <si>
    <t>WPR19LA201</t>
  </si>
  <si>
    <t>King City</t>
  </si>
  <si>
    <t>CEN19LA229</t>
  </si>
  <si>
    <t>2019-07-21</t>
  </si>
  <si>
    <t>CEN19LA230</t>
  </si>
  <si>
    <t>Ida Grove</t>
  </si>
  <si>
    <t>CEN19LA231</t>
  </si>
  <si>
    <t>Breckenridge</t>
  </si>
  <si>
    <t>CEN19LA232</t>
  </si>
  <si>
    <t>GAA19WA460</t>
  </si>
  <si>
    <t>Hythe, Kent-UK</t>
  </si>
  <si>
    <t>WPR19LA202</t>
  </si>
  <si>
    <t>Port Townsend</t>
  </si>
  <si>
    <t>ANC19LA039</t>
  </si>
  <si>
    <t>2019-07-22</t>
  </si>
  <si>
    <t>Boise</t>
  </si>
  <si>
    <t>CEN19LA233</t>
  </si>
  <si>
    <t>Kingston</t>
  </si>
  <si>
    <t>GAA19CA448</t>
  </si>
  <si>
    <t>Van Nuys</t>
  </si>
  <si>
    <t>WPR19LA198</t>
  </si>
  <si>
    <t>ANC19LA040</t>
  </si>
  <si>
    <t>2019-07-23</t>
  </si>
  <si>
    <t>Farewell</t>
  </si>
  <si>
    <t>CEN19CA237</t>
  </si>
  <si>
    <t>2019-07-24</t>
  </si>
  <si>
    <t>CEN19FA236</t>
  </si>
  <si>
    <t>Chadron</t>
  </si>
  <si>
    <t>CEN19LA244</t>
  </si>
  <si>
    <t>Walls</t>
  </si>
  <si>
    <t>ERA19FA234</t>
  </si>
  <si>
    <t>Americus</t>
  </si>
  <si>
    <t>GAA19CA452</t>
  </si>
  <si>
    <t>Welsh</t>
  </si>
  <si>
    <t>GAA19CA453</t>
  </si>
  <si>
    <t>STANTON</t>
  </si>
  <si>
    <t>GAA19CA454</t>
  </si>
  <si>
    <t>Deshler</t>
  </si>
  <si>
    <t>GAA19CA463</t>
  </si>
  <si>
    <t>CEN19LA243</t>
  </si>
  <si>
    <t>2019-07-25</t>
  </si>
  <si>
    <t>Viroqua</t>
  </si>
  <si>
    <t>ERA19LA238</t>
  </si>
  <si>
    <t>Cuthbert</t>
  </si>
  <si>
    <t>ERA19TA235</t>
  </si>
  <si>
    <t>Wakefield</t>
  </si>
  <si>
    <t>CEN19LA241</t>
  </si>
  <si>
    <t>2019-07-26</t>
  </si>
  <si>
    <t>Mitchell</t>
  </si>
  <si>
    <t>GAA19CA469</t>
  </si>
  <si>
    <t>Wurtsboro</t>
  </si>
  <si>
    <t>Cabin Safety Events</t>
  </si>
  <si>
    <t>WPR19LA226</t>
  </si>
  <si>
    <t>Fall City</t>
  </si>
  <si>
    <t>CEN19LA240</t>
  </si>
  <si>
    <t>2019-07-27</t>
  </si>
  <si>
    <t>Blair</t>
  </si>
  <si>
    <t>CEN19LA242</t>
  </si>
  <si>
    <t>CEN19LA246</t>
  </si>
  <si>
    <t>El Paso</t>
  </si>
  <si>
    <t>CEN19LA251</t>
  </si>
  <si>
    <t>Chicago</t>
  </si>
  <si>
    <t>GAA19CA456</t>
  </si>
  <si>
    <t>GAA19CA457</t>
  </si>
  <si>
    <t>Dukedom</t>
  </si>
  <si>
    <t>GAA19CA468</t>
  </si>
  <si>
    <t>Gaithersburg</t>
  </si>
  <si>
    <t>GAA19CA479</t>
  </si>
  <si>
    <t>Mackay</t>
  </si>
  <si>
    <t>GAA19CA500</t>
  </si>
  <si>
    <t>Tok</t>
  </si>
  <si>
    <t>WPR19LA205</t>
  </si>
  <si>
    <t>Eugene</t>
  </si>
  <si>
    <t>CEN19CA239</t>
  </si>
  <si>
    <t>2019-07-28</t>
  </si>
  <si>
    <t>CEN19FA238</t>
  </si>
  <si>
    <t>GAA19CA465</t>
  </si>
  <si>
    <t>GAA19CA472</t>
  </si>
  <si>
    <t>Mt. Sterling</t>
  </si>
  <si>
    <t>WPR19LA204</t>
  </si>
  <si>
    <t>2019-07-29</t>
  </si>
  <si>
    <t>Vernal</t>
  </si>
  <si>
    <t>CEN19LA265</t>
  </si>
  <si>
    <t>2019-07-30</t>
  </si>
  <si>
    <t>Fairhope</t>
  </si>
  <si>
    <t>CEN19WA268</t>
  </si>
  <si>
    <t>Senneterre, Quebec</t>
  </si>
  <si>
    <t>ERA19LA239</t>
  </si>
  <si>
    <t>Chattanooga</t>
  </si>
  <si>
    <t>GAA19CA464</t>
  </si>
  <si>
    <t>WESTMINSTER</t>
  </si>
  <si>
    <t>GAA19CA470</t>
  </si>
  <si>
    <t>GAA19CA474</t>
  </si>
  <si>
    <t>Cloquet</t>
  </si>
  <si>
    <t>GAA19CA475</t>
  </si>
  <si>
    <t>Thompson Falls</t>
  </si>
  <si>
    <t>GAA19CA471</t>
  </si>
  <si>
    <t>2019-07-31</t>
  </si>
  <si>
    <t>Falcon</t>
  </si>
  <si>
    <t>GAA19CA473</t>
  </si>
  <si>
    <t>Fessenden</t>
  </si>
  <si>
    <t>GAA19CA492</t>
  </si>
  <si>
    <t>Kenai</t>
  </si>
  <si>
    <t>GAA19CA482</t>
  </si>
  <si>
    <t>2019-08-01</t>
  </si>
  <si>
    <t>GAA19CA484</t>
  </si>
  <si>
    <t>Hume</t>
  </si>
  <si>
    <t>WPR19LA231</t>
  </si>
  <si>
    <t>Novato</t>
  </si>
  <si>
    <t>GAA19CA481</t>
  </si>
  <si>
    <t>2019-08-02</t>
  </si>
  <si>
    <t>Vandalia</t>
  </si>
  <si>
    <t>CEN19FA247</t>
  </si>
  <si>
    <t>2019-08-03</t>
  </si>
  <si>
    <t>Ontonagan</t>
  </si>
  <si>
    <t>CEN19LA249</t>
  </si>
  <si>
    <t>Saginaw</t>
  </si>
  <si>
    <t>CEN19LA250</t>
  </si>
  <si>
    <t>Lyons</t>
  </si>
  <si>
    <t>CEN19LA257</t>
  </si>
  <si>
    <t>ANC19FA042</t>
  </si>
  <si>
    <t>2019-08-04</t>
  </si>
  <si>
    <t>Girdwood</t>
  </si>
  <si>
    <t>CEN19FA248</t>
  </si>
  <si>
    <t>De Queen</t>
  </si>
  <si>
    <t>GAA19CA480</t>
  </si>
  <si>
    <t>Waco</t>
  </si>
  <si>
    <t>GAA19CA483</t>
  </si>
  <si>
    <t>Paulden</t>
  </si>
  <si>
    <t>GAA19CA486</t>
  </si>
  <si>
    <t>Bayse</t>
  </si>
  <si>
    <t>GAA19CA503</t>
  </si>
  <si>
    <t>GAA19CA504</t>
  </si>
  <si>
    <t>Oakland</t>
  </si>
  <si>
    <t>CEN19LA252</t>
  </si>
  <si>
    <t>2019-08-05</t>
  </si>
  <si>
    <t>Miami</t>
  </si>
  <si>
    <t>WPR19FA209</t>
  </si>
  <si>
    <t>Wolf Point</t>
  </si>
  <si>
    <t>CEN19FA253</t>
  </si>
  <si>
    <t>2019-08-07</t>
  </si>
  <si>
    <t>Cotulla</t>
  </si>
  <si>
    <t>CEN19LA260</t>
  </si>
  <si>
    <t>Cortez</t>
  </si>
  <si>
    <t>GAA19CA490</t>
  </si>
  <si>
    <t>Pueblo</t>
  </si>
  <si>
    <t>WPR19FA212</t>
  </si>
  <si>
    <t>Camarillo</t>
  </si>
  <si>
    <t>CEN19FA259</t>
  </si>
  <si>
    <t>2019-08-08</t>
  </si>
  <si>
    <t>Sumner</t>
  </si>
  <si>
    <t>CEN19LA258</t>
  </si>
  <si>
    <t>North Garden</t>
  </si>
  <si>
    <t>CEN19LA266</t>
  </si>
  <si>
    <t>Lubbock</t>
  </si>
  <si>
    <t>ERA19FA240</t>
  </si>
  <si>
    <t>Hatboro</t>
  </si>
  <si>
    <t>ERA19WA242</t>
  </si>
  <si>
    <t>Bimini</t>
  </si>
  <si>
    <t>GAA19CA488</t>
  </si>
  <si>
    <t>WPR19LA220</t>
  </si>
  <si>
    <t>CEN19LA264</t>
  </si>
  <si>
    <t>2019-08-09</t>
  </si>
  <si>
    <t>Cordell</t>
  </si>
  <si>
    <t>GAA19CA558</t>
  </si>
  <si>
    <t>WPR19FA215</t>
  </si>
  <si>
    <t>WPR19LA228</t>
  </si>
  <si>
    <t>Galt</t>
  </si>
  <si>
    <t>CEN19LA262</t>
  </si>
  <si>
    <t>2019-08-10</t>
  </si>
  <si>
    <t>Newark</t>
  </si>
  <si>
    <t>GAA19CA489</t>
  </si>
  <si>
    <t>GAA19CA491</t>
  </si>
  <si>
    <t>GAA19CA493</t>
  </si>
  <si>
    <t>CEN19LA263</t>
  </si>
  <si>
    <t>2019-08-11</t>
  </si>
  <si>
    <t>New Carlisle</t>
  </si>
  <si>
    <t>ERA19FA243</t>
  </si>
  <si>
    <t>Jersey Shore</t>
  </si>
  <si>
    <t>ERA19LA245</t>
  </si>
  <si>
    <t>Allentown</t>
  </si>
  <si>
    <t>WPR19FA216</t>
  </si>
  <si>
    <t>Kooskia</t>
  </si>
  <si>
    <t>ANC19TA044</t>
  </si>
  <si>
    <t>2019-08-12</t>
  </si>
  <si>
    <t>GAA19CA512</t>
  </si>
  <si>
    <t>Chickasha</t>
  </si>
  <si>
    <t>ERA19LA246</t>
  </si>
  <si>
    <t>2019-08-13</t>
  </si>
  <si>
    <t>Jay</t>
  </si>
  <si>
    <t>ERA19LA247</t>
  </si>
  <si>
    <t>2019-08-14</t>
  </si>
  <si>
    <t>Boone</t>
  </si>
  <si>
    <t>GAA19CA494</t>
  </si>
  <si>
    <t>Stockton</t>
  </si>
  <si>
    <t>WPR19FA219</t>
  </si>
  <si>
    <t>WPR19LA218</t>
  </si>
  <si>
    <t>Mesa</t>
  </si>
  <si>
    <t>WPR19LA221</t>
  </si>
  <si>
    <t>Shelton</t>
  </si>
  <si>
    <t>CEN19LA267</t>
  </si>
  <si>
    <t>2019-08-15</t>
  </si>
  <si>
    <t>San Marcos</t>
  </si>
  <si>
    <t>CEN19LA275</t>
  </si>
  <si>
    <t>Rio Grande City</t>
  </si>
  <si>
    <t>ERA19FA248</t>
  </si>
  <si>
    <t>Elizabethton</t>
  </si>
  <si>
    <t>GAA19CA497</t>
  </si>
  <si>
    <t>WPR19LA222</t>
  </si>
  <si>
    <t>Jamul</t>
  </si>
  <si>
    <t>CEN19FA270</t>
  </si>
  <si>
    <t>2019-08-16</t>
  </si>
  <si>
    <t>New Orleans</t>
  </si>
  <si>
    <t>CEN19LA269</t>
  </si>
  <si>
    <t>Simulated/training event</t>
  </si>
  <si>
    <t>GAA19CA495</t>
  </si>
  <si>
    <t>Hooper</t>
  </si>
  <si>
    <t>GAA19CA502</t>
  </si>
  <si>
    <t>Onida</t>
  </si>
  <si>
    <t>ERA19FA249</t>
  </si>
  <si>
    <t>2019-08-17</t>
  </si>
  <si>
    <t>Lagrangeville</t>
  </si>
  <si>
    <t>ERA19TA254</t>
  </si>
  <si>
    <t>Talladega</t>
  </si>
  <si>
    <t>GAA19CA498</t>
  </si>
  <si>
    <t>Daytona Beach</t>
  </si>
  <si>
    <t>WPR19LA223</t>
  </si>
  <si>
    <t>Ruidoso</t>
  </si>
  <si>
    <t>CEN19FA271</t>
  </si>
  <si>
    <t>2019-08-18</t>
  </si>
  <si>
    <t>Hopedale</t>
  </si>
  <si>
    <t>ERA19FA250</t>
  </si>
  <si>
    <t>Wilmington</t>
  </si>
  <si>
    <t>Delaware</t>
  </si>
  <si>
    <t>GAA19CA501</t>
  </si>
  <si>
    <t>CEN19FA276</t>
  </si>
  <si>
    <t>2019-08-19</t>
  </si>
  <si>
    <t>ERA19FA251</t>
  </si>
  <si>
    <t>Tappahannock</t>
  </si>
  <si>
    <t>GAA19CA496</t>
  </si>
  <si>
    <t>Regina</t>
  </si>
  <si>
    <t>GAA19CA499</t>
  </si>
  <si>
    <t>Ocracoke</t>
  </si>
  <si>
    <t>WPR19LA227</t>
  </si>
  <si>
    <t>Spokane</t>
  </si>
  <si>
    <t>CEN19FA278</t>
  </si>
  <si>
    <t>2019-08-20</t>
  </si>
  <si>
    <t>Hays</t>
  </si>
  <si>
    <t>CEN19FA279</t>
  </si>
  <si>
    <t>Howell</t>
  </si>
  <si>
    <t>CEN19TA280</t>
  </si>
  <si>
    <t>Montrose</t>
  </si>
  <si>
    <t>ERA19LA252</t>
  </si>
  <si>
    <t>East Brady</t>
  </si>
  <si>
    <t>GAA19CA509</t>
  </si>
  <si>
    <t>Cypress Island</t>
  </si>
  <si>
    <t>GAA19CA517</t>
  </si>
  <si>
    <t>WPR19LA237</t>
  </si>
  <si>
    <t>WPR19LA238</t>
  </si>
  <si>
    <t>Half Moon Bay</t>
  </si>
  <si>
    <t>CEN19LA281</t>
  </si>
  <si>
    <t>2019-08-21</t>
  </si>
  <si>
    <t>Grand Rapids</t>
  </si>
  <si>
    <t>ERA19LA253</t>
  </si>
  <si>
    <t>ERA19LA255</t>
  </si>
  <si>
    <t>WPR19LA233</t>
  </si>
  <si>
    <t>ERA19LA257</t>
  </si>
  <si>
    <t>2019-08-22</t>
  </si>
  <si>
    <t>Burnsville</t>
  </si>
  <si>
    <t>GAA19CA505</t>
  </si>
  <si>
    <t>GAA19CA506</t>
  </si>
  <si>
    <t>Glider Towing</t>
  </si>
  <si>
    <t>GAA19CA507</t>
  </si>
  <si>
    <t>GAA19CA508</t>
  </si>
  <si>
    <t>GAA19CA513</t>
  </si>
  <si>
    <t>Rangeley Lake</t>
  </si>
  <si>
    <t>CEN19TA328</t>
  </si>
  <si>
    <t>2019-08-23</t>
  </si>
  <si>
    <t>Lawton</t>
  </si>
  <si>
    <t>ERA19FA256</t>
  </si>
  <si>
    <t>Minneola</t>
  </si>
  <si>
    <t>ERA19LA258</t>
  </si>
  <si>
    <t>Hobe Sound</t>
  </si>
  <si>
    <t>GAA19CA557</t>
  </si>
  <si>
    <t>WPR19FA235</t>
  </si>
  <si>
    <t>Big Spring</t>
  </si>
  <si>
    <t>ERA19LA260</t>
  </si>
  <si>
    <t>2019-08-24</t>
  </si>
  <si>
    <t>GAA19CA510</t>
  </si>
  <si>
    <t>WPR19LA239</t>
  </si>
  <si>
    <t>Wendover</t>
  </si>
  <si>
    <t>CEN19LA300</t>
  </si>
  <si>
    <t>2019-08-25</t>
  </si>
  <si>
    <t>Bethany</t>
  </si>
  <si>
    <t>CEN19TA293</t>
  </si>
  <si>
    <t>Russiaville</t>
  </si>
  <si>
    <t>CEN19TA330</t>
  </si>
  <si>
    <t>GLENWOOD SPRINGS</t>
  </si>
  <si>
    <t>GAA19CA511</t>
  </si>
  <si>
    <t>Cottonwood</t>
  </si>
  <si>
    <t>GAA19CA514</t>
  </si>
  <si>
    <t>Shamokin</t>
  </si>
  <si>
    <t>WPR19FA241</t>
  </si>
  <si>
    <t>Wilkeson</t>
  </si>
  <si>
    <t>WPR19LA240</t>
  </si>
  <si>
    <t>WPR19LA242</t>
  </si>
  <si>
    <t>Santa Barbara</t>
  </si>
  <si>
    <t>WPR19LA243</t>
  </si>
  <si>
    <t>2019-08-26</t>
  </si>
  <si>
    <t>CEN19LA290</t>
  </si>
  <si>
    <t>2019-08-27</t>
  </si>
  <si>
    <t>Monroe</t>
  </si>
  <si>
    <t>GAA19CA515</t>
  </si>
  <si>
    <t>GAA19CA518</t>
  </si>
  <si>
    <t>GAA19CA519</t>
  </si>
  <si>
    <t>WPR19FA244</t>
  </si>
  <si>
    <t>McKenzie Bridge</t>
  </si>
  <si>
    <t>WPR19TA245</t>
  </si>
  <si>
    <t>North Las Vegas</t>
  </si>
  <si>
    <t>CEN19LA292</t>
  </si>
  <si>
    <t>2019-08-28</t>
  </si>
  <si>
    <t>ANC19LA047</t>
  </si>
  <si>
    <t>2019-08-29</t>
  </si>
  <si>
    <t>CEN19LA295</t>
  </si>
  <si>
    <t>Olney</t>
  </si>
  <si>
    <t>WPR19FA246</t>
  </si>
  <si>
    <t>St. Ignatious</t>
  </si>
  <si>
    <t>ANC19CA057</t>
  </si>
  <si>
    <t>2019-08-30</t>
  </si>
  <si>
    <t>Arctic Village</t>
  </si>
  <si>
    <t>ANC19LA048</t>
  </si>
  <si>
    <t>GAA19CA537</t>
  </si>
  <si>
    <t>Murrieta</t>
  </si>
  <si>
    <t>GAA19CA568</t>
  </si>
  <si>
    <t>WPR19TA248</t>
  </si>
  <si>
    <t>Nampa</t>
  </si>
  <si>
    <t>CEN19LA299</t>
  </si>
  <si>
    <t>2019-08-31</t>
  </si>
  <si>
    <t>Conroe</t>
  </si>
  <si>
    <t>GAA19CA527</t>
  </si>
  <si>
    <t>Convington</t>
  </si>
  <si>
    <t>WPR19LA247</t>
  </si>
  <si>
    <t>El Monte</t>
  </si>
  <si>
    <t>WPR19LA249</t>
  </si>
  <si>
    <t>Asotin</t>
  </si>
  <si>
    <t>ERA19LA264</t>
  </si>
  <si>
    <t>2019-09-01</t>
  </si>
  <si>
    <t>GAA19CA521</t>
  </si>
  <si>
    <t>GAA19CA522</t>
  </si>
  <si>
    <t>Bandera</t>
  </si>
  <si>
    <t>GAA19CA524</t>
  </si>
  <si>
    <t>Manchester</t>
  </si>
  <si>
    <t>GAA19CA530</t>
  </si>
  <si>
    <t>Chickaloon</t>
  </si>
  <si>
    <t>CEN19CA336</t>
  </si>
  <si>
    <t>2019-09-02</t>
  </si>
  <si>
    <t>Taylor</t>
  </si>
  <si>
    <t>CEN19LA297</t>
  </si>
  <si>
    <t>CEN19LA302</t>
  </si>
  <si>
    <t>La Grange</t>
  </si>
  <si>
    <t>CEN19LA319</t>
  </si>
  <si>
    <t>Branson</t>
  </si>
  <si>
    <t>CEN19TA327</t>
  </si>
  <si>
    <t>ERA19LA263</t>
  </si>
  <si>
    <t>Russellville</t>
  </si>
  <si>
    <t>GAA19CA520</t>
  </si>
  <si>
    <t>Mackinac Island</t>
  </si>
  <si>
    <t>GAA19CA523</t>
  </si>
  <si>
    <t>San Carlos</t>
  </si>
  <si>
    <t>GAA19CA534</t>
  </si>
  <si>
    <t>Sawyer</t>
  </si>
  <si>
    <t>ANC19LA051</t>
  </si>
  <si>
    <t>2019-09-03</t>
  </si>
  <si>
    <t>CEN19LA313</t>
  </si>
  <si>
    <t>Mack</t>
  </si>
  <si>
    <t>CEN19LA303</t>
  </si>
  <si>
    <t>2019-09-04</t>
  </si>
  <si>
    <t>Van Wert</t>
  </si>
  <si>
    <t>GAA19CA525</t>
  </si>
  <si>
    <t>Charleston</t>
  </si>
  <si>
    <t>GAA19CA538</t>
  </si>
  <si>
    <t>GAA19CA539</t>
  </si>
  <si>
    <t>Winfield</t>
  </si>
  <si>
    <t>GAA19CA548</t>
  </si>
  <si>
    <t>LANCASTER</t>
  </si>
  <si>
    <t>WPR19FA250</t>
  </si>
  <si>
    <t>Henefer</t>
  </si>
  <si>
    <t>ANC19LA053</t>
  </si>
  <si>
    <t>2019-09-05</t>
  </si>
  <si>
    <t>Chugiak</t>
  </si>
  <si>
    <t>GAA19CA526</t>
  </si>
  <si>
    <t>Glendo</t>
  </si>
  <si>
    <t>GAA19CA536</t>
  </si>
  <si>
    <t>TAHLEQUAH</t>
  </si>
  <si>
    <t>CEN19LA304</t>
  </si>
  <si>
    <t>2019-09-06</t>
  </si>
  <si>
    <t>Midlothian</t>
  </si>
  <si>
    <t>CEN19LA322</t>
  </si>
  <si>
    <t>Pocahontas</t>
  </si>
  <si>
    <t>ERA19FA265</t>
  </si>
  <si>
    <t>Lady Lake</t>
  </si>
  <si>
    <t>GAA19CA531</t>
  </si>
  <si>
    <t>Nuiqsut</t>
  </si>
  <si>
    <t>WPR19FA251</t>
  </si>
  <si>
    <t>Hood River</t>
  </si>
  <si>
    <t>CEN19FA305</t>
  </si>
  <si>
    <t>2019-09-07</t>
  </si>
  <si>
    <t>Carpenter</t>
  </si>
  <si>
    <t>CEN19LA306</t>
  </si>
  <si>
    <t>Kingsbury</t>
  </si>
  <si>
    <t>CEN19TA310</t>
  </si>
  <si>
    <t>Winnsboro</t>
  </si>
  <si>
    <t>GAA19CA528</t>
  </si>
  <si>
    <t>Lakeport</t>
  </si>
  <si>
    <t>GAA19CA529</t>
  </si>
  <si>
    <t>Mekoryuk</t>
  </si>
  <si>
    <t>GAA19CA535</t>
  </si>
  <si>
    <t>TURKEY</t>
  </si>
  <si>
    <t>WPR19FA252</t>
  </si>
  <si>
    <t>Las Vegas</t>
  </si>
  <si>
    <t>CEN19FA307</t>
  </si>
  <si>
    <t>2019-09-08</t>
  </si>
  <si>
    <t>Lakeview</t>
  </si>
  <si>
    <t>ERA19FA266</t>
  </si>
  <si>
    <t>Marathon</t>
  </si>
  <si>
    <t>ERA19LA267</t>
  </si>
  <si>
    <t>Berlin</t>
  </si>
  <si>
    <t>WPR19FA256</t>
  </si>
  <si>
    <t>La Grande</t>
  </si>
  <si>
    <t>CEN19LA308</t>
  </si>
  <si>
    <t>2019-09-09</t>
  </si>
  <si>
    <t>WHITEHALL</t>
  </si>
  <si>
    <t>CEN19LA309</t>
  </si>
  <si>
    <t>WALKERTON</t>
  </si>
  <si>
    <t>GAA19CA585</t>
  </si>
  <si>
    <t>Keystone Heights</t>
  </si>
  <si>
    <t>WPR19LA261</t>
  </si>
  <si>
    <t>CEN19LA311</t>
  </si>
  <si>
    <t>2019-09-10</t>
  </si>
  <si>
    <t>Grassy Butte</t>
  </si>
  <si>
    <t>ERA19TA276</t>
  </si>
  <si>
    <t>WPR19LA253</t>
  </si>
  <si>
    <t>Maricopa</t>
  </si>
  <si>
    <t>CEN19LA314</t>
  </si>
  <si>
    <t>2019-09-11</t>
  </si>
  <si>
    <t>Colorado Springs</t>
  </si>
  <si>
    <t>CEN19LA315</t>
  </si>
  <si>
    <t>CEN19LA317</t>
  </si>
  <si>
    <t>Boca Raton</t>
  </si>
  <si>
    <t>CEN19MA312</t>
  </si>
  <si>
    <t>Monclova</t>
  </si>
  <si>
    <t>Part 125: 20+ pax,6000+ lbs</t>
  </si>
  <si>
    <t>Cargo</t>
  </si>
  <si>
    <t>ERA19LA268</t>
  </si>
  <si>
    <t>St. Augustine</t>
  </si>
  <si>
    <t>GAA19CA581</t>
  </si>
  <si>
    <t>GAA19CA596</t>
  </si>
  <si>
    <t>Air race/show</t>
  </si>
  <si>
    <t>WPR19LA255</t>
  </si>
  <si>
    <t>Azusa</t>
  </si>
  <si>
    <t>CEN19LA316</t>
  </si>
  <si>
    <t>2019-09-12</t>
  </si>
  <si>
    <t>Eustace</t>
  </si>
  <si>
    <t>CEN19LA318</t>
  </si>
  <si>
    <t>Hill City</t>
  </si>
  <si>
    <t>ERA19LA269</t>
  </si>
  <si>
    <t>ERA19LA279</t>
  </si>
  <si>
    <t>Charlotte Amalie</t>
  </si>
  <si>
    <t>GAA19CA542</t>
  </si>
  <si>
    <t>GAA19CA543</t>
  </si>
  <si>
    <t>Memphis</t>
  </si>
  <si>
    <t>GAA19CA544</t>
  </si>
  <si>
    <t>WPR19LA257</t>
  </si>
  <si>
    <t>Good Springs</t>
  </si>
  <si>
    <t>CEN19LA320</t>
  </si>
  <si>
    <t>2019-09-13</t>
  </si>
  <si>
    <t>Hoagland</t>
  </si>
  <si>
    <t>ERA19CA291</t>
  </si>
  <si>
    <t>Sebring</t>
  </si>
  <si>
    <t>GAA19CA545</t>
  </si>
  <si>
    <t>WPR19LA259</t>
  </si>
  <si>
    <t>Marana</t>
  </si>
  <si>
    <t>CEN19LA331</t>
  </si>
  <si>
    <t>2019-09-14</t>
  </si>
  <si>
    <t>Orange</t>
  </si>
  <si>
    <t>GAA19CA546</t>
  </si>
  <si>
    <t>WPR19LA273</t>
  </si>
  <si>
    <t>Tucumcari</t>
  </si>
  <si>
    <t>CEN19TA321</t>
  </si>
  <si>
    <t>2019-09-15</t>
  </si>
  <si>
    <t>Gulf of Mexico</t>
  </si>
  <si>
    <t>ERA19LA272</t>
  </si>
  <si>
    <t>Norfolk</t>
  </si>
  <si>
    <t>GAA19CA549</t>
  </si>
  <si>
    <t>Kennett</t>
  </si>
  <si>
    <t>GAA19CA551</t>
  </si>
  <si>
    <t>Healy</t>
  </si>
  <si>
    <t>GAA19CA555</t>
  </si>
  <si>
    <t>Toklat</t>
  </si>
  <si>
    <t>GAA19CA550</t>
  </si>
  <si>
    <t>2019-09-16</t>
  </si>
  <si>
    <t>GAA19CA554</t>
  </si>
  <si>
    <t>Owasso</t>
  </si>
  <si>
    <t>ERA19FA275</t>
  </si>
  <si>
    <t>2019-09-17</t>
  </si>
  <si>
    <t>Stroudsburg</t>
  </si>
  <si>
    <t>ERA19LA273</t>
  </si>
  <si>
    <t>Sardis</t>
  </si>
  <si>
    <t>ERA19LA274</t>
  </si>
  <si>
    <t>Fort Meade</t>
  </si>
  <si>
    <t>GAA19CA552</t>
  </si>
  <si>
    <t>GAA19CA556</t>
  </si>
  <si>
    <t>GAA19CA584</t>
  </si>
  <si>
    <t>New Meadows</t>
  </si>
  <si>
    <t>CEN19FA323</t>
  </si>
  <si>
    <t>2019-09-18</t>
  </si>
  <si>
    <t>London</t>
  </si>
  <si>
    <t>CEN19LA324</t>
  </si>
  <si>
    <t>Duncan</t>
  </si>
  <si>
    <t>CEN19TA335</t>
  </si>
  <si>
    <t>De Soto</t>
  </si>
  <si>
    <t>GAA19CA566</t>
  </si>
  <si>
    <t>WPR19FA262</t>
  </si>
  <si>
    <t>2019-09-19</t>
  </si>
  <si>
    <t>WPR19FA263</t>
  </si>
  <si>
    <t>Nixon</t>
  </si>
  <si>
    <t>CEN19LA326</t>
  </si>
  <si>
    <t>2019-09-20</t>
  </si>
  <si>
    <t>ERA19TA278</t>
  </si>
  <si>
    <t>Pepperell</t>
  </si>
  <si>
    <t>GAA19CA559</t>
  </si>
  <si>
    <t>GAA19CA562</t>
  </si>
  <si>
    <t>Kotzebue</t>
  </si>
  <si>
    <t>GAA19CA569</t>
  </si>
  <si>
    <t>Fort Wayne</t>
  </si>
  <si>
    <t>ANC19LA054</t>
  </si>
  <si>
    <t>2019-09-22</t>
  </si>
  <si>
    <t>CEN19FA332</t>
  </si>
  <si>
    <t>2019-09-23</t>
  </si>
  <si>
    <t>Prairie Grove</t>
  </si>
  <si>
    <t>ERA19TA277</t>
  </si>
  <si>
    <t>GAA19CA560</t>
  </si>
  <si>
    <t>GAA19CA564</t>
  </si>
  <si>
    <t>GAA19CA567</t>
  </si>
  <si>
    <t>Kershaw</t>
  </si>
  <si>
    <t>GAA19CA572</t>
  </si>
  <si>
    <t>Boulder</t>
  </si>
  <si>
    <t>GAA19CA580</t>
  </si>
  <si>
    <t>WPR19LA265</t>
  </si>
  <si>
    <t>Gresham</t>
  </si>
  <si>
    <t>ERA19LA280</t>
  </si>
  <si>
    <t>2019-09-24</t>
  </si>
  <si>
    <t>Manville</t>
  </si>
  <si>
    <t>ERA19LA282</t>
  </si>
  <si>
    <t>GAA19CA591</t>
  </si>
  <si>
    <t>ELIZABETHTOWN</t>
  </si>
  <si>
    <t>ANC19TA055</t>
  </si>
  <si>
    <t>2019-09-25</t>
  </si>
  <si>
    <t>Tyonek</t>
  </si>
  <si>
    <t>CEN19TA333</t>
  </si>
  <si>
    <t>Bolivar</t>
  </si>
  <si>
    <t>GAA19CA570</t>
  </si>
  <si>
    <t>GAA19CA571</t>
  </si>
  <si>
    <t>GAA19CA587</t>
  </si>
  <si>
    <t>GAA19CA590</t>
  </si>
  <si>
    <t>GAA19CA575</t>
  </si>
  <si>
    <t>2019-09-26</t>
  </si>
  <si>
    <t>Lander</t>
  </si>
  <si>
    <t>WPR19FA266</t>
  </si>
  <si>
    <t>Cowles</t>
  </si>
  <si>
    <t>CEN19LA334</t>
  </si>
  <si>
    <t>2019-09-27</t>
  </si>
  <si>
    <t>Columbus</t>
  </si>
  <si>
    <t>GAA19CA576</t>
  </si>
  <si>
    <t>Pollock</t>
  </si>
  <si>
    <t>GAA19CA582</t>
  </si>
  <si>
    <t>GAA19CA586</t>
  </si>
  <si>
    <t>Williams</t>
  </si>
  <si>
    <t>WPR19LA267</t>
  </si>
  <si>
    <t>Modesto</t>
  </si>
  <si>
    <t>ERA19LA285</t>
  </si>
  <si>
    <t>2019-09-28</t>
  </si>
  <si>
    <t>Bloomsburg</t>
  </si>
  <si>
    <t>ERA19LA287</t>
  </si>
  <si>
    <t>GAA19CA577</t>
  </si>
  <si>
    <t>Morrisville</t>
  </si>
  <si>
    <t>Vermont</t>
  </si>
  <si>
    <t>ERA19FA283</t>
  </si>
  <si>
    <t>2019-09-29</t>
  </si>
  <si>
    <t>Deland</t>
  </si>
  <si>
    <t>ERA20LA052</t>
  </si>
  <si>
    <t>2019-10-01</t>
  </si>
  <si>
    <t>Grove City</t>
  </si>
  <si>
    <t>GAA20CA001</t>
  </si>
  <si>
    <t>Longs</t>
  </si>
  <si>
    <t>ERA20MA001</t>
  </si>
  <si>
    <t>2019-10-02</t>
  </si>
  <si>
    <t>Windsor Locks</t>
  </si>
  <si>
    <t>GAA20CA002</t>
  </si>
  <si>
    <t>Carlsbad</t>
  </si>
  <si>
    <t>CEN20FA001</t>
  </si>
  <si>
    <t>2019-10-03</t>
  </si>
  <si>
    <t>Lansing</t>
  </si>
  <si>
    <t>ERA20LA004</t>
  </si>
  <si>
    <t>ERA20TA005</t>
  </si>
  <si>
    <t>ERA20FA002</t>
  </si>
  <si>
    <t>2019-10-04</t>
  </si>
  <si>
    <t>Asheboro</t>
  </si>
  <si>
    <t>ERA20LA011</t>
  </si>
  <si>
    <t>Harrisburg</t>
  </si>
  <si>
    <t>GAA20CA003</t>
  </si>
  <si>
    <t>Lake Elsinore</t>
  </si>
  <si>
    <t>GAA20CA006</t>
  </si>
  <si>
    <t>Kaplan</t>
  </si>
  <si>
    <t>CEN20FA002</t>
  </si>
  <si>
    <t>2019-10-05</t>
  </si>
  <si>
    <t>Kokomo</t>
  </si>
  <si>
    <t>CEN20LA005</t>
  </si>
  <si>
    <t>Garden Ridge</t>
  </si>
  <si>
    <t>ERA20FA003</t>
  </si>
  <si>
    <t>Pembroke Pines</t>
  </si>
  <si>
    <t>GAA20CA004</t>
  </si>
  <si>
    <t>Triangle</t>
  </si>
  <si>
    <t>GAA20CA005</t>
  </si>
  <si>
    <t>Dublin</t>
  </si>
  <si>
    <t>WPR20LA001</t>
  </si>
  <si>
    <t>Moore</t>
  </si>
  <si>
    <t>CEN20FA003</t>
  </si>
  <si>
    <t>2019-10-06</t>
  </si>
  <si>
    <t>Bixby</t>
  </si>
  <si>
    <t>CEN20LA004</t>
  </si>
  <si>
    <t>Ranger</t>
  </si>
  <si>
    <t>WPR20LA004</t>
  </si>
  <si>
    <t>ERA20LA006</t>
  </si>
  <si>
    <t>2019-10-07</t>
  </si>
  <si>
    <t>GAA20CA007</t>
  </si>
  <si>
    <t>Kodiak</t>
  </si>
  <si>
    <t>GAA20CA010</t>
  </si>
  <si>
    <t>Fallon</t>
  </si>
  <si>
    <t>GAA20CA012</t>
  </si>
  <si>
    <t>Rio Rancho</t>
  </si>
  <si>
    <t>CEN20LA006</t>
  </si>
  <si>
    <t>2019-10-08</t>
  </si>
  <si>
    <t>Waukesha</t>
  </si>
  <si>
    <t>WPR20FA005</t>
  </si>
  <si>
    <t>CEN20FA010</t>
  </si>
  <si>
    <t>2019-10-09</t>
  </si>
  <si>
    <t>GAA20CA042</t>
  </si>
  <si>
    <t>Somerville</t>
  </si>
  <si>
    <t>GAA20CA008</t>
  </si>
  <si>
    <t>2019-10-10</t>
  </si>
  <si>
    <t>Big Flats</t>
  </si>
  <si>
    <t>GAA20CA009</t>
  </si>
  <si>
    <t>Waynesburg</t>
  </si>
  <si>
    <t>GAA20CA017</t>
  </si>
  <si>
    <t>Dayton</t>
  </si>
  <si>
    <t>GAA20CA018</t>
  </si>
  <si>
    <t>2019-10-11</t>
  </si>
  <si>
    <t>GAA20CA019</t>
  </si>
  <si>
    <t>GAA20CA020</t>
  </si>
  <si>
    <t>Willacoochee</t>
  </si>
  <si>
    <t>GAA20CA021</t>
  </si>
  <si>
    <t>Cedartown</t>
  </si>
  <si>
    <t>GAA20CA027</t>
  </si>
  <si>
    <t>Gastonia</t>
  </si>
  <si>
    <t>ANC20CA006</t>
  </si>
  <si>
    <t>2019-10-12</t>
  </si>
  <si>
    <t>CEN20TA007</t>
  </si>
  <si>
    <t>GAA20CA011</t>
  </si>
  <si>
    <t>Henrys Lake</t>
  </si>
  <si>
    <t>GAA20CA024</t>
  </si>
  <si>
    <t>GAA20CA025</t>
  </si>
  <si>
    <t>GAA20CA026</t>
  </si>
  <si>
    <t>Lusby</t>
  </si>
  <si>
    <t>ANC20LA002</t>
  </si>
  <si>
    <t>2019-10-13</t>
  </si>
  <si>
    <t>CEN20LA016</t>
  </si>
  <si>
    <t>Springtown</t>
  </si>
  <si>
    <t>GAA20CA015</t>
  </si>
  <si>
    <t>Goddard</t>
  </si>
  <si>
    <t>WPR20LA007</t>
  </si>
  <si>
    <t>Susanville</t>
  </si>
  <si>
    <t>ERA20FA009</t>
  </si>
  <si>
    <t>2019-10-14</t>
  </si>
  <si>
    <t>Cameron</t>
  </si>
  <si>
    <t>GAA20CA013</t>
  </si>
  <si>
    <t>GAA20CA022</t>
  </si>
  <si>
    <t>Douglas</t>
  </si>
  <si>
    <t>GAA20CA045</t>
  </si>
  <si>
    <t>Buckeye</t>
  </si>
  <si>
    <t>GAA20CA014</t>
  </si>
  <si>
    <t>2019-10-15</t>
  </si>
  <si>
    <t>GAA20CA023</t>
  </si>
  <si>
    <t>GAA20CA028</t>
  </si>
  <si>
    <t>GAA20CA029</t>
  </si>
  <si>
    <t>Flannigan</t>
  </si>
  <si>
    <t>CEN20LA021</t>
  </si>
  <si>
    <t>2019-10-16</t>
  </si>
  <si>
    <t>GAA20CA030</t>
  </si>
  <si>
    <t>Gerlach</t>
  </si>
  <si>
    <t>CEN20FA008</t>
  </si>
  <si>
    <t>2019-10-17</t>
  </si>
  <si>
    <t>Green Bay</t>
  </si>
  <si>
    <t>DCA20CA003</t>
  </si>
  <si>
    <t>Tres Pinos</t>
  </si>
  <si>
    <t>ERA20FA012</t>
  </si>
  <si>
    <t>New Salem</t>
  </si>
  <si>
    <t>GAA20CA031</t>
  </si>
  <si>
    <t>Alvin</t>
  </si>
  <si>
    <t>GAA20CA032</t>
  </si>
  <si>
    <t>GAA20CA033</t>
  </si>
  <si>
    <t>Fabens</t>
  </si>
  <si>
    <t>GAA20CA035</t>
  </si>
  <si>
    <t>Overton</t>
  </si>
  <si>
    <t>GAA20CA046</t>
  </si>
  <si>
    <t>New Braunfels</t>
  </si>
  <si>
    <t>WPR20LA009</t>
  </si>
  <si>
    <t>ERA20FA013</t>
  </si>
  <si>
    <t>2019-10-18</t>
  </si>
  <si>
    <t>Tamaqua</t>
  </si>
  <si>
    <t>ERA20LA017</t>
  </si>
  <si>
    <t>Shellman</t>
  </si>
  <si>
    <t>ERA20LA018</t>
  </si>
  <si>
    <t>Madisonville</t>
  </si>
  <si>
    <t>GAA20CA034</t>
  </si>
  <si>
    <t>GAA20CA036</t>
  </si>
  <si>
    <t>Marble Canyon</t>
  </si>
  <si>
    <t>GAA20CA043</t>
  </si>
  <si>
    <t>CEN20WA011</t>
  </si>
  <si>
    <t>2019-10-19</t>
  </si>
  <si>
    <t>San Salvador</t>
  </si>
  <si>
    <t>El Salvador</t>
  </si>
  <si>
    <t>GAA20CA037</t>
  </si>
  <si>
    <t>Albuquerque</t>
  </si>
  <si>
    <t>GAA20CA039</t>
  </si>
  <si>
    <t>Safford</t>
  </si>
  <si>
    <t>GAA20CA079</t>
  </si>
  <si>
    <t>Quakertown</t>
  </si>
  <si>
    <t>CEN20FA009</t>
  </si>
  <si>
    <t>2019-10-20</t>
  </si>
  <si>
    <t>White Plains</t>
  </si>
  <si>
    <t>ERA20FA014</t>
  </si>
  <si>
    <t>Raleigh</t>
  </si>
  <si>
    <t>GAA20CA038</t>
  </si>
  <si>
    <t>Wedgefield</t>
  </si>
  <si>
    <t>WPR20FA008</t>
  </si>
  <si>
    <t>Angel Fire</t>
  </si>
  <si>
    <t>GAA20CA041</t>
  </si>
  <si>
    <t>2019-10-21</t>
  </si>
  <si>
    <t>Nantucket</t>
  </si>
  <si>
    <t>GAA20CA044</t>
  </si>
  <si>
    <t>Brooksville</t>
  </si>
  <si>
    <t>CEN20LA013</t>
  </si>
  <si>
    <t>2019-10-22</t>
  </si>
  <si>
    <t>Lamesa</t>
  </si>
  <si>
    <t>WPR20LA012</t>
  </si>
  <si>
    <t>Holden</t>
  </si>
  <si>
    <t>CEN20FA012</t>
  </si>
  <si>
    <t>2019-10-23</t>
  </si>
  <si>
    <t>Hebbronville</t>
  </si>
  <si>
    <t>GAA20CA095</t>
  </si>
  <si>
    <t>WPR20FA013</t>
  </si>
  <si>
    <t>WPR20LA014</t>
  </si>
  <si>
    <t>Spanaway</t>
  </si>
  <si>
    <t>CEN20LA014</t>
  </si>
  <si>
    <t>2019-10-24</t>
  </si>
  <si>
    <t>Swea City</t>
  </si>
  <si>
    <t>ERA20FA019</t>
  </si>
  <si>
    <t>Summit Point</t>
  </si>
  <si>
    <t>GAA20CA091</t>
  </si>
  <si>
    <t>Apopka</t>
  </si>
  <si>
    <t>WPR20FAMS1</t>
  </si>
  <si>
    <t>Shelter Cove</t>
  </si>
  <si>
    <t>WPR20LA017</t>
  </si>
  <si>
    <t>Red Creek</t>
  </si>
  <si>
    <t>GAA20CA050</t>
  </si>
  <si>
    <t>2019-10-25</t>
  </si>
  <si>
    <t>Opa Locka</t>
  </si>
  <si>
    <t>WPR20FA015</t>
  </si>
  <si>
    <t>American Falls</t>
  </si>
  <si>
    <t>WPR20FA016</t>
  </si>
  <si>
    <t>Jordan Valley</t>
  </si>
  <si>
    <t>GAA20CA051</t>
  </si>
  <si>
    <t>2019-10-26</t>
  </si>
  <si>
    <t>Tavares</t>
  </si>
  <si>
    <t>CEN20LA015</t>
  </si>
  <si>
    <t>2019-10-27</t>
  </si>
  <si>
    <t>White Bear Township</t>
  </si>
  <si>
    <t>ERA20LA023</t>
  </si>
  <si>
    <t>Grand Bay</t>
  </si>
  <si>
    <t>GAA20CA048</t>
  </si>
  <si>
    <t>Le Roy</t>
  </si>
  <si>
    <t>GAA20CA058</t>
  </si>
  <si>
    <t>Enumclaw</t>
  </si>
  <si>
    <t>GAA20CA088</t>
  </si>
  <si>
    <t>GAA20CA052</t>
  </si>
  <si>
    <t>2019-10-28</t>
  </si>
  <si>
    <t>Alexandria</t>
  </si>
  <si>
    <t>GAA20CA055</t>
  </si>
  <si>
    <t>Augusta</t>
  </si>
  <si>
    <t>ERA20FA020</t>
  </si>
  <si>
    <t>2019-10-29</t>
  </si>
  <si>
    <t>Colonia</t>
  </si>
  <si>
    <t>GAA20CA082</t>
  </si>
  <si>
    <t>ERA20FA021</t>
  </si>
  <si>
    <t>2019-10-30</t>
  </si>
  <si>
    <t>ANC20LA003</t>
  </si>
  <si>
    <t>2019-10-31</t>
  </si>
  <si>
    <t>Honolulu</t>
  </si>
  <si>
    <t>ERA20FA022</t>
  </si>
  <si>
    <t>ERA20FA025</t>
  </si>
  <si>
    <t>Middleburg</t>
  </si>
  <si>
    <t>ERA20FA026</t>
  </si>
  <si>
    <t>GAA20CA054</t>
  </si>
  <si>
    <t>WPR20FA018</t>
  </si>
  <si>
    <t>Brawley</t>
  </si>
  <si>
    <t>CEN20LA017</t>
  </si>
  <si>
    <t>2019-11-01</t>
  </si>
  <si>
    <t>Kalamazoo</t>
  </si>
  <si>
    <t>ERA20FA027</t>
  </si>
  <si>
    <t>Stuart</t>
  </si>
  <si>
    <t>ERA20LA028</t>
  </si>
  <si>
    <t>Odessa</t>
  </si>
  <si>
    <t>GAA20CA053</t>
  </si>
  <si>
    <t>GAA20CA057</t>
  </si>
  <si>
    <t>2019-11-02</t>
  </si>
  <si>
    <t>Palmyra</t>
  </si>
  <si>
    <t>GAA20CA066</t>
  </si>
  <si>
    <t>Gilbert</t>
  </si>
  <si>
    <t>GAA20CA068</t>
  </si>
  <si>
    <t>Chester</t>
  </si>
  <si>
    <t>ERA20TA030</t>
  </si>
  <si>
    <t>2019-11-03</t>
  </si>
  <si>
    <t>Doral</t>
  </si>
  <si>
    <t>GAA20CA059</t>
  </si>
  <si>
    <t>ERA20FA029</t>
  </si>
  <si>
    <t>2019-11-04</t>
  </si>
  <si>
    <t>ERA20FA031</t>
  </si>
  <si>
    <t>New Bedford</t>
  </si>
  <si>
    <t>GAA20CA060</t>
  </si>
  <si>
    <t>Smoketown</t>
  </si>
  <si>
    <t>WPR20LA032</t>
  </si>
  <si>
    <t>GAA20CA073</t>
  </si>
  <si>
    <t>2019-11-06</t>
  </si>
  <si>
    <t>Waynesville</t>
  </si>
  <si>
    <t>GAA20CA075</t>
  </si>
  <si>
    <t>Broomfield</t>
  </si>
  <si>
    <t>GAA20CA062</t>
  </si>
  <si>
    <t>2019-11-07</t>
  </si>
  <si>
    <t>Groveland</t>
  </si>
  <si>
    <t>WPR20FA019</t>
  </si>
  <si>
    <t>GAA20CA069</t>
  </si>
  <si>
    <t>2019-11-08</t>
  </si>
  <si>
    <t>Tyler</t>
  </si>
  <si>
    <t>GAA20CA085</t>
  </si>
  <si>
    <t>CEN20LA018</t>
  </si>
  <si>
    <t>2019-11-09</t>
  </si>
  <si>
    <t>ERA20LA035</t>
  </si>
  <si>
    <t>Griffin</t>
  </si>
  <si>
    <t>GAA20CA064</t>
  </si>
  <si>
    <t>GAA20CA084</t>
  </si>
  <si>
    <t>ANC20LA004</t>
  </si>
  <si>
    <t>2019-11-10</t>
  </si>
  <si>
    <t>Goodnews Bay</t>
  </si>
  <si>
    <t>Scheduled</t>
  </si>
  <si>
    <t>ERA20LA033</t>
  </si>
  <si>
    <t>GAA20CA063</t>
  </si>
  <si>
    <t>GAA20CA072</t>
  </si>
  <si>
    <t>Mexico</t>
  </si>
  <si>
    <t>GAA20CA070</t>
  </si>
  <si>
    <t>2019-11-11</t>
  </si>
  <si>
    <t>GAA20CA071</t>
  </si>
  <si>
    <t>San Luis</t>
  </si>
  <si>
    <t>GAA20CA080</t>
  </si>
  <si>
    <t>Fitzgerald</t>
  </si>
  <si>
    <t>WPR20LA028</t>
  </si>
  <si>
    <t>Metaline</t>
  </si>
  <si>
    <t>GAA20CA067</t>
  </si>
  <si>
    <t>2019-11-12</t>
  </si>
  <si>
    <t>GAA20CA074</t>
  </si>
  <si>
    <t>FallBrook</t>
  </si>
  <si>
    <t>ERA20LA034</t>
  </si>
  <si>
    <t>2019-11-13</t>
  </si>
  <si>
    <t>Toms River</t>
  </si>
  <si>
    <t>WPR20LA022</t>
  </si>
  <si>
    <t>GAA20CA087</t>
  </si>
  <si>
    <t>2019-11-14</t>
  </si>
  <si>
    <t>Erwin</t>
  </si>
  <si>
    <t>ERA20LA039</t>
  </si>
  <si>
    <t>2019-11-15</t>
  </si>
  <si>
    <t>West Liberty</t>
  </si>
  <si>
    <t>GAA20CA086</t>
  </si>
  <si>
    <t>2019-11-16</t>
  </si>
  <si>
    <t>Sherman/Dennison</t>
  </si>
  <si>
    <t>WPR20LA025</t>
  </si>
  <si>
    <t>Heber City</t>
  </si>
  <si>
    <t>WPR20LA026</t>
  </si>
  <si>
    <t>ERA20CA036</t>
  </si>
  <si>
    <t>2019-11-17</t>
  </si>
  <si>
    <t>Venice</t>
  </si>
  <si>
    <t>GAA20CA081</t>
  </si>
  <si>
    <t>West Jefferson</t>
  </si>
  <si>
    <t>GAA20CA089</t>
  </si>
  <si>
    <t>DuBois</t>
  </si>
  <si>
    <t>WPR20LA024</t>
  </si>
  <si>
    <t>ERA20LA038</t>
  </si>
  <si>
    <t>2019-11-18</t>
  </si>
  <si>
    <t>College Park</t>
  </si>
  <si>
    <t>GAA20CA090</t>
  </si>
  <si>
    <t>2019-11-19</t>
  </si>
  <si>
    <t>Brogue</t>
  </si>
  <si>
    <t>CEN20FA019</t>
  </si>
  <si>
    <t>2019-11-20</t>
  </si>
  <si>
    <t>CEN20LA020</t>
  </si>
  <si>
    <t>2019-11-22</t>
  </si>
  <si>
    <t>WPR20FA031</t>
  </si>
  <si>
    <t>Jackpot</t>
  </si>
  <si>
    <t>CEN20CA026</t>
  </si>
  <si>
    <t>2019-11-23</t>
  </si>
  <si>
    <t>Clear Lake</t>
  </si>
  <si>
    <t>CEN20CA033</t>
  </si>
  <si>
    <t>ERA20LA044</t>
  </si>
  <si>
    <t>GAA20CA092</t>
  </si>
  <si>
    <t>Lamar</t>
  </si>
  <si>
    <t>GAA20CA094</t>
  </si>
  <si>
    <t>Simsbury</t>
  </si>
  <si>
    <t>WPR20LA033</t>
  </si>
  <si>
    <t>CEN20LA046</t>
  </si>
  <si>
    <t>2019-11-24</t>
  </si>
  <si>
    <t>ERA20FA043</t>
  </si>
  <si>
    <t>ANC20FA005</t>
  </si>
  <si>
    <t>2019-11-25</t>
  </si>
  <si>
    <t>Blythe</t>
  </si>
  <si>
    <t>CEN20TA025</t>
  </si>
  <si>
    <t>Mount Pleasant</t>
  </si>
  <si>
    <t>DCA20CA028</t>
  </si>
  <si>
    <t>Palmdale</t>
  </si>
  <si>
    <t>WPR20CA058</t>
  </si>
  <si>
    <t>WPR20FA034</t>
  </si>
  <si>
    <t>2019-11-26</t>
  </si>
  <si>
    <t>CEN20WA024</t>
  </si>
  <si>
    <t>2019-11-27</t>
  </si>
  <si>
    <t>WPR20LA035</t>
  </si>
  <si>
    <t>2019-11-29</t>
  </si>
  <si>
    <t>Byron</t>
  </si>
  <si>
    <t>CEN20CA027</t>
  </si>
  <si>
    <t>2019-11-30</t>
  </si>
  <si>
    <t>Williamston</t>
  </si>
  <si>
    <t>CEN20FA022</t>
  </si>
  <si>
    <t>Chamberlain</t>
  </si>
  <si>
    <t>ERA20LA045</t>
  </si>
  <si>
    <t>Wrightsville</t>
  </si>
  <si>
    <t>CEN20FA023</t>
  </si>
  <si>
    <t>2019-12-01</t>
  </si>
  <si>
    <t>ERA20CA048</t>
  </si>
  <si>
    <t>Union City</t>
  </si>
  <si>
    <t>ERA20TA046</t>
  </si>
  <si>
    <t>2019-12-02</t>
  </si>
  <si>
    <t>ERA20LA047</t>
  </si>
  <si>
    <t>2019-12-03</t>
  </si>
  <si>
    <t>Potts Camp</t>
  </si>
  <si>
    <t>WPR20CA036</t>
  </si>
  <si>
    <t>CEN20LA029</t>
  </si>
  <si>
    <t>2019-12-04</t>
  </si>
  <si>
    <t>Baldwin City</t>
  </si>
  <si>
    <t>WPR20CA041</t>
  </si>
  <si>
    <t>2019-12-05</t>
  </si>
  <si>
    <t>Camas</t>
  </si>
  <si>
    <t>WPR20LA040</t>
  </si>
  <si>
    <t>Pima</t>
  </si>
  <si>
    <t>CEN20TA031</t>
  </si>
  <si>
    <t>2019-12-06</t>
  </si>
  <si>
    <t>Spring Branch</t>
  </si>
  <si>
    <t>CEN20TA030</t>
  </si>
  <si>
    <t>2019-12-07</t>
  </si>
  <si>
    <t>CEN20FA034</t>
  </si>
  <si>
    <t>2019-12-08</t>
  </si>
  <si>
    <t>Flower Pot</t>
  </si>
  <si>
    <t>ERA20LA050</t>
  </si>
  <si>
    <t>Willow Springs</t>
  </si>
  <si>
    <t>ERA20LA051</t>
  </si>
  <si>
    <t>Naguabo</t>
  </si>
  <si>
    <t>Puerto Rico</t>
  </si>
  <si>
    <t>ERA20LA053</t>
  </si>
  <si>
    <t>2019-12-10</t>
  </si>
  <si>
    <t>WPR20LA038</t>
  </si>
  <si>
    <t>2019-12-11</t>
  </si>
  <si>
    <t>WPR20TA039</t>
  </si>
  <si>
    <t>Riverton</t>
  </si>
  <si>
    <t>WPR20LA042</t>
  </si>
  <si>
    <t>2019-12-12</t>
  </si>
  <si>
    <t>ERA20LA054</t>
  </si>
  <si>
    <t>2019-12-14</t>
  </si>
  <si>
    <t>WPR20CA050</t>
  </si>
  <si>
    <t>Las Cruces</t>
  </si>
  <si>
    <t>ANC20CA014</t>
  </si>
  <si>
    <t>2019-12-15</t>
  </si>
  <si>
    <t>Tokyo</t>
  </si>
  <si>
    <t>Japan</t>
  </si>
  <si>
    <t>ERA20LA055</t>
  </si>
  <si>
    <t>New Market</t>
  </si>
  <si>
    <t>ERA20CA138</t>
  </si>
  <si>
    <t>2019-12-16</t>
  </si>
  <si>
    <t>Davenport</t>
  </si>
  <si>
    <t>WPR20CA043</t>
  </si>
  <si>
    <t>WPR20CA045</t>
  </si>
  <si>
    <t>WPR20CA046</t>
  </si>
  <si>
    <t>2019-12-17</t>
  </si>
  <si>
    <t>Visalia</t>
  </si>
  <si>
    <t>CEN20LA036</t>
  </si>
  <si>
    <t>2019-12-18</t>
  </si>
  <si>
    <t>Starkville</t>
  </si>
  <si>
    <t>CEN20LA043</t>
  </si>
  <si>
    <t>Harrison</t>
  </si>
  <si>
    <t>WPR20CA048</t>
  </si>
  <si>
    <t>CEN20LA037</t>
  </si>
  <si>
    <t>2019-12-19</t>
  </si>
  <si>
    <t>ENG20WA035</t>
  </si>
  <si>
    <t>Moruya</t>
  </si>
  <si>
    <t>Australia</t>
  </si>
  <si>
    <t>ERA20CA090</t>
  </si>
  <si>
    <t>Hickory Valley</t>
  </si>
  <si>
    <t>CEN20CA039</t>
  </si>
  <si>
    <t>2019-12-20</t>
  </si>
  <si>
    <t>ERA20LA057</t>
  </si>
  <si>
    <t>CEN20FA038</t>
  </si>
  <si>
    <t>2019-12-21</t>
  </si>
  <si>
    <t>Evansville</t>
  </si>
  <si>
    <t>CEN20LA042</t>
  </si>
  <si>
    <t>Rush City</t>
  </si>
  <si>
    <t>ERA20CA058</t>
  </si>
  <si>
    <t>WPR20FA049</t>
  </si>
  <si>
    <t>Goodyear</t>
  </si>
  <si>
    <t>ERA20CA059</t>
  </si>
  <si>
    <t>2019-12-22</t>
  </si>
  <si>
    <t>Mayaguez</t>
  </si>
  <si>
    <t>WPR20CA056</t>
  </si>
  <si>
    <t>Lake Havasu</t>
  </si>
  <si>
    <t>CEN20CA040</t>
  </si>
  <si>
    <t>2019-12-23</t>
  </si>
  <si>
    <t>Pineville</t>
  </si>
  <si>
    <t>CEN20CA059</t>
  </si>
  <si>
    <t>Xenia</t>
  </si>
  <si>
    <t>ERA20CA111</t>
  </si>
  <si>
    <t>Hanson</t>
  </si>
  <si>
    <t>WPR20CA052</t>
  </si>
  <si>
    <t>ERA20CA110</t>
  </si>
  <si>
    <t>2019-12-24</t>
  </si>
  <si>
    <t>Cortland</t>
  </si>
  <si>
    <t>ERA20LA070</t>
  </si>
  <si>
    <t>ERA20LA080</t>
  </si>
  <si>
    <t>Suffolk</t>
  </si>
  <si>
    <t>ERA20CA078</t>
  </si>
  <si>
    <t>2019-12-26</t>
  </si>
  <si>
    <t>WPR20FA051</t>
  </si>
  <si>
    <t>2019-12-27</t>
  </si>
  <si>
    <t>Santa Monica</t>
  </si>
  <si>
    <t>CEN20MA044</t>
  </si>
  <si>
    <t>2019-12-28</t>
  </si>
  <si>
    <t>LAFAYETTE</t>
  </si>
  <si>
    <t>ERA20LA062</t>
  </si>
  <si>
    <t>ERA20LA082</t>
  </si>
  <si>
    <t>Farmingdale</t>
  </si>
  <si>
    <t>WPR20CA053</t>
  </si>
  <si>
    <t>Missoula</t>
  </si>
  <si>
    <t>CEN20CA047</t>
  </si>
  <si>
    <t>2019-12-29</t>
  </si>
  <si>
    <t>Robstown</t>
  </si>
  <si>
    <t>ERA20FA060</t>
  </si>
  <si>
    <t>CEN20CA048</t>
  </si>
  <si>
    <t>2019-12-30</t>
  </si>
  <si>
    <t>GRANBURY</t>
  </si>
  <si>
    <t>WPR20LA054</t>
  </si>
  <si>
    <t>Big Piney</t>
  </si>
  <si>
    <t>ANC20CA011</t>
  </si>
  <si>
    <t>2019-12-31</t>
  </si>
  <si>
    <t>CEN20CA052</t>
  </si>
  <si>
    <t>Onaga</t>
  </si>
  <si>
    <t>CEN20FA049</t>
  </si>
  <si>
    <t>OLATHE</t>
  </si>
  <si>
    <t>CEN20LA051</t>
  </si>
  <si>
    <t>WPR20CA055</t>
  </si>
  <si>
    <t>Elk</t>
  </si>
  <si>
    <t>General Aviation Accidents, 2010-2019</t>
  </si>
  <si>
    <t>Calendar Year</t>
  </si>
  <si>
    <t>Total</t>
  </si>
  <si>
    <t>General Aviation Accident Rates, 2010-2019</t>
  </si>
  <si>
    <t>General Aviation Accident Aircraft by Flight Purpose and Aircraft Category, 2019</t>
  </si>
  <si>
    <t>Flight Purpose</t>
  </si>
  <si>
    <t>Fixed-Wing</t>
  </si>
  <si>
    <t>Defining Event for General Aviation Accidents, 2019</t>
  </si>
  <si>
    <t>Defining Event</t>
  </si>
  <si>
    <t>Non-Fatal</t>
  </si>
  <si>
    <t>Phase of Flight for General Aviation Accidents, 2019</t>
  </si>
  <si>
    <t>Phase of Flight</t>
  </si>
  <si>
    <t>General Aviation Flight Hours, 2010-2019</t>
  </si>
  <si>
    <t>General Aviation Flight Hours (100,000s)</t>
  </si>
  <si>
    <t>Personal Flying Accidents, 2010-2019</t>
  </si>
  <si>
    <t>Personal Flying Accident Rates, 2010-2019</t>
  </si>
  <si>
    <t>Defining Event for Personal Flying Accidents, 2019</t>
  </si>
  <si>
    <t>Phase of Flight for Personal Flying Accidents, 2019</t>
  </si>
  <si>
    <t>Personal Flying Hours, 2010-2019</t>
  </si>
  <si>
    <t>General Aviation Personal Flying Hours (100,000s)</t>
  </si>
  <si>
    <t>Instructional Flying Hours, 2010-2019</t>
  </si>
  <si>
    <t>General Aviation Instructional Flying Hours (100,000s)</t>
  </si>
  <si>
    <t>Instructional Flying Accidents, 2010-2019</t>
  </si>
  <si>
    <t>Instructional Flying Accident Rates, 2010-2019</t>
  </si>
  <si>
    <t>Defining Event for Instructional Flying Accidents, 2019</t>
  </si>
  <si>
    <t>Phase of Flight for Instructional Flying Accidents, 2019</t>
  </si>
  <si>
    <t>Business Flying Hours, 2010-2019</t>
  </si>
  <si>
    <t>General Aviation Business Flying Hours (100,000s)</t>
  </si>
  <si>
    <t>Business Flying Accidents, 2010-2019</t>
  </si>
  <si>
    <t>Business Flying Accident Rates, 2010-2019</t>
  </si>
  <si>
    <t>Defining Event for Business Flying Accidents, 2019</t>
  </si>
  <si>
    <t>Phase of Flight for Business Flying Accidents, 2019</t>
  </si>
  <si>
    <t>Executive/Corporate Flying Hours, 2010-2019</t>
  </si>
  <si>
    <t>General Aviation Executive/Corporate Flying Hours (100,000s)</t>
  </si>
  <si>
    <t>Executive/Corporate Accidents, 2010-2019</t>
  </si>
  <si>
    <t>Executive/Corporate Accident Rates, 2010-2019</t>
  </si>
  <si>
    <t>Defining Event for Executive/Corporate Flying Accidents, 2019</t>
  </si>
  <si>
    <t>Phase of Flight for Executive/Corporate Flying Accidents, 2019</t>
  </si>
  <si>
    <t>Public Use Accidents, 2010-2019</t>
  </si>
  <si>
    <t>Defining Event for Public Use Accidents, 2019</t>
  </si>
  <si>
    <t>Phase of Flight for Public Use Accidents, 2019</t>
  </si>
  <si>
    <t>Data dictionary:</t>
  </si>
  <si>
    <t>Each accident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L is limited, G is government agency. The next letter is the transportation mode; A is for aviation. The last numbers are a sequential numbering of investigations for each mode within each office for a fiscal year. The first investigation of each year is assigned 001.</t>
  </si>
  <si>
    <t>A link to the NTSB accident report.</t>
  </si>
  <si>
    <t>The date of the accident.</t>
  </si>
  <si>
    <t>The city or place location closest to the site of the accident.</t>
  </si>
  <si>
    <t>The state in which the accident occurred (if in the United States). Also includes the Pacific Ocean as PO, the Caribbean Sea as CB, the Atlantic Ocean as AO, the Gulf of Mexico as GM, and Puerto Rico as PR.</t>
  </si>
  <si>
    <t>The country in which the accident took place.</t>
  </si>
  <si>
    <t>Latitude for the accident site in decimal degrees.</t>
  </si>
  <si>
    <t>Longitude for the accident site in decimal degrees.</t>
  </si>
  <si>
    <t>The total number of fatalities that resulted from the accident.</t>
  </si>
  <si>
    <t>The total number of serious injuries that resulted from the accident.</t>
  </si>
  <si>
    <t>Indicates the highest level of injury among all injuries sustained as a result of the accident.</t>
  </si>
  <si>
    <t>The aircraft number variable is used to distinguish between individual aircraft in the event of an accident involving more than one aircraft. For example, if two aircraft collide, they will be assigned AircraftNumber 1 and 2.</t>
  </si>
  <si>
    <t>Indicates the severity of damage to the accident aircraft. For the purposes of this variable, aircraft damage categories are defined in 49 CFR 830.2.</t>
  </si>
  <si>
    <t>The category of the involved aircraft. In this case, the definition of aircraft category is the same as that used with respect to the certification, ratings, privileges, and limitations of airmen.</t>
  </si>
  <si>
    <t>The applicable regulation part (14 CFR) or authority the aircraft was operating under at the time of the accident.</t>
  </si>
  <si>
    <t>If the accident aircraft was conducting air carrier operations under 14 CFR 121, 125, 129, or 135, indicates whether it was operating as a "scheduled or commuter" air carrier or a "non-scheduled or air taxi" carrier.</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</si>
  <si>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t>
  </si>
  <si>
    <t>If the accident flight was conducting revenue operations under 14 CFR 121, 125, 129, or 135,  indicates the make up of aircraft load.</t>
  </si>
  <si>
    <t>If the accident aircraft was operating under 14 CFR part 91,103,133, or 137, this was the primary purpose of flight.</t>
  </si>
  <si>
    <t>The defining event in the sequence of events for the accident aircraft. For a list of event categories, see http://www.intlaviationstandards.org/Documents/OccurrenceCategoryDefinitions.pdf</t>
  </si>
  <si>
    <t>The phase of flight associated with the defining event for the accident aircraft. For a list of phase of flight categories, see http://www.intlaviationstandards.org/Documents/PhaseofFlightDefinitions.pdf</t>
  </si>
  <si>
    <t>Indicates if the accident flight involved an intentional act (such as suicide, sabotage, stolen aircraft, or terrorism). Accidents involving intentional acts are included in accident counts but are excluded from accident rate computations.</t>
  </si>
  <si>
    <t>Yes</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</si>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</sst>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xf numFmtId="0" fontId="4" fillId="0" borderId="0" xfId="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GA_Accidents!$C$2</c:f>
              <c:strCache>
                <c:ptCount val="1"/>
                <c:pt idx="0">
                  <c:v>Total</c:v>
                </c:pt>
              </c:strCache>
            </c:strRef>
          </c:tx>
          <c:spPr>
            <a:solidFill>
              <a:srgbClr val="67A3F3"/>
            </a:solidFill>
            <a:ln w="6350">
              <a:solidFill>
                <a:srgbClr val="1A3B69"/>
              </a:solidFill>
              <a:prstDash val="solid"/>
            </a:ln>
          </c:spPr>
          <c:invertIfNegative val="0"/>
          <c:cat>
            <c:numRef>
              <c:f>GA_Accidents!$A$3:$A$12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GA_Accidents!$C$3:$C$12</c:f>
              <c:numCache>
                <c:formatCode>General</c:formatCode>
                <c:ptCount val="10"/>
                <c:pt idx="0">
                  <c:v>1441</c:v>
                </c:pt>
                <c:pt idx="1">
                  <c:v>1471</c:v>
                </c:pt>
                <c:pt idx="2">
                  <c:v>1471</c:v>
                </c:pt>
                <c:pt idx="3">
                  <c:v>1223</c:v>
                </c:pt>
                <c:pt idx="4">
                  <c:v>1222</c:v>
                </c:pt>
                <c:pt idx="5">
                  <c:v>1211</c:v>
                </c:pt>
                <c:pt idx="6">
                  <c:v>1269</c:v>
                </c:pt>
                <c:pt idx="7">
                  <c:v>1234</c:v>
                </c:pt>
                <c:pt idx="8">
                  <c:v>1275</c:v>
                </c:pt>
                <c:pt idx="9">
                  <c:v>1220</c:v>
                </c:pt>
              </c:numCache>
            </c:numRef>
          </c:val>
          <c:extLst>
            <c:ext xmlns:c16="http://schemas.microsoft.com/office/drawing/2014/chart" uri="{C3380CC4-5D6E-409C-BE32-E72D297353CC}">
              <c16:uniqueId val="{00000005-82A9-4E80-993B-9DCE336BDFA9}"/>
            </c:ext>
          </c:extLst>
        </c:ser>
        <c:ser>
          <c:idx val="0"/>
          <c:order val="1"/>
          <c:tx>
            <c:strRef>
              <c:f>GA_Accidents!$B$2</c:f>
              <c:strCache>
                <c:ptCount val="1"/>
                <c:pt idx="0">
                  <c:v>Fatal</c:v>
                </c:pt>
              </c:strCache>
            </c:strRef>
          </c:tx>
          <c:spPr>
            <a:solidFill>
              <a:srgbClr val="FDC367"/>
            </a:solidFill>
            <a:ln w="6350">
              <a:solidFill>
                <a:srgbClr val="1A3B69"/>
              </a:solidFill>
              <a:prstDash val="solid"/>
            </a:ln>
          </c:spPr>
          <c:invertIfNegative val="0"/>
          <c:cat>
            <c:numRef>
              <c:f>GA_Accidents!$A$3:$A$12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GA_Accidents!$B$3:$B$12</c:f>
              <c:numCache>
                <c:formatCode>General</c:formatCode>
                <c:ptCount val="10"/>
                <c:pt idx="0">
                  <c:v>271</c:v>
                </c:pt>
                <c:pt idx="1">
                  <c:v>270</c:v>
                </c:pt>
                <c:pt idx="2">
                  <c:v>273</c:v>
                </c:pt>
                <c:pt idx="3">
                  <c:v>221</c:v>
                </c:pt>
                <c:pt idx="4">
                  <c:v>255</c:v>
                </c:pt>
                <c:pt idx="5">
                  <c:v>230</c:v>
                </c:pt>
                <c:pt idx="6">
                  <c:v>213</c:v>
                </c:pt>
                <c:pt idx="7">
                  <c:v>203</c:v>
                </c:pt>
                <c:pt idx="8">
                  <c:v>224</c:v>
                </c:pt>
                <c:pt idx="9">
                  <c:v>233</c:v>
                </c:pt>
              </c:numCache>
            </c:numRef>
          </c:val>
          <c:extLst>
            <c:ext xmlns:c16="http://schemas.microsoft.com/office/drawing/2014/chart" uri="{C3380CC4-5D6E-409C-BE32-E72D297353CC}">
              <c16:uniqueId val="{00000004-82A9-4E80-993B-9DCE336BDFA9}"/>
            </c:ext>
          </c:extLst>
        </c:ser>
        <c:dLbls>
          <c:showLegendKey val="0"/>
          <c:showVal val="0"/>
          <c:showCatName val="0"/>
          <c:showSerName val="0"/>
          <c:showPercent val="0"/>
          <c:showBubbleSize val="0"/>
        </c:dLbls>
        <c:gapWidth val="36"/>
        <c:axId val="1743116223"/>
        <c:axId val="1743120799"/>
      </c:barChart>
      <c:catAx>
        <c:axId val="1743116223"/>
        <c:scaling>
          <c:orientation val="minMax"/>
        </c:scaling>
        <c:delete val="0"/>
        <c:axPos val="b"/>
        <c:title>
          <c:tx>
            <c:strRef>
              <c:f>GA_Accidents!$A$2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120799"/>
        <c:crosses val="autoZero"/>
        <c:auto val="1"/>
        <c:lblAlgn val="ctr"/>
        <c:lblOffset val="0"/>
        <c:noMultiLvlLbl val="0"/>
      </c:catAx>
      <c:valAx>
        <c:axId val="1743120799"/>
        <c:scaling>
          <c:orientation val="minMax"/>
          <c:min val="0"/>
        </c:scaling>
        <c:delete val="0"/>
        <c:axPos val="l"/>
        <c:title>
          <c:tx>
            <c:rich>
              <a:bodyPr/>
              <a:lstStyle/>
              <a:p>
                <a:pPr>
                  <a:defRPr/>
                </a:pPr>
                <a:r>
                  <a:rPr lang="en-US"/>
                  <a:t>Accidents</a:t>
                </a:r>
              </a:p>
            </c:rich>
          </c:tx>
          <c:overlay val="0"/>
        </c:title>
        <c:numFmt formatCode="#,##0" sourceLinked="0"/>
        <c:majorTickMark val="out"/>
        <c:minorTickMark val="none"/>
        <c:tickLblPos val="nextTo"/>
        <c:spPr>
          <a:ln w="6350">
            <a:solidFill>
              <a:srgbClr val="1A3B69"/>
            </a:solidFill>
          </a:ln>
        </c:spPr>
        <c:crossAx val="1743116223"/>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GA_Personal_FlightHours!$B$2</c:f>
              <c:strCache>
                <c:ptCount val="1"/>
                <c:pt idx="0">
                  <c:v>General Aviation Personal Flying Hours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strRef>
              <c:f>GA_Personal_FlightHours!$A$3:$A$12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GA_Personal_FlightHours!$B$3:$B$12</c:f>
              <c:numCache>
                <c:formatCode>General</c:formatCode>
                <c:ptCount val="10"/>
                <c:pt idx="0">
                  <c:v>80.06183</c:v>
                </c:pt>
                <c:pt idx="2">
                  <c:v>81.846900000000005</c:v>
                </c:pt>
                <c:pt idx="3">
                  <c:v>71.894750000000002</c:v>
                </c:pt>
                <c:pt idx="4">
                  <c:v>68.597290000000001</c:v>
                </c:pt>
                <c:pt idx="5">
                  <c:v>74.376019999999997</c:v>
                </c:pt>
                <c:pt idx="6">
                  <c:v>78.684839999999994</c:v>
                </c:pt>
                <c:pt idx="7">
                  <c:v>77.889259999999993</c:v>
                </c:pt>
                <c:pt idx="8">
                  <c:v>77.213899999999995</c:v>
                </c:pt>
                <c:pt idx="9">
                  <c:v>78.494209999999995</c:v>
                </c:pt>
              </c:numCache>
            </c:numRef>
          </c:val>
          <c:smooth val="0"/>
          <c:extLst>
            <c:ext xmlns:c16="http://schemas.microsoft.com/office/drawing/2014/chart" uri="{C3380CC4-5D6E-409C-BE32-E72D297353CC}">
              <c16:uniqueId val="{00000003-19FF-446B-B26E-C46D0A2E3848}"/>
            </c:ext>
          </c:extLst>
        </c:ser>
        <c:dLbls>
          <c:showLegendKey val="0"/>
          <c:showVal val="0"/>
          <c:showCatName val="0"/>
          <c:showSerName val="0"/>
          <c:showPercent val="0"/>
          <c:showBubbleSize val="0"/>
        </c:dLbls>
        <c:marker val="1"/>
        <c:smooth val="0"/>
        <c:axId val="1743014719"/>
        <c:axId val="1743033439"/>
      </c:lineChart>
      <c:catAx>
        <c:axId val="1743014719"/>
        <c:scaling>
          <c:orientation val="minMax"/>
        </c:scaling>
        <c:delete val="0"/>
        <c:axPos val="b"/>
        <c:title>
          <c:tx>
            <c:strRef>
              <c:f>GA_Personal_FlightHours!$A$2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033439"/>
        <c:crosses val="autoZero"/>
        <c:auto val="1"/>
        <c:lblAlgn val="ctr"/>
        <c:lblOffset val="0"/>
        <c:noMultiLvlLbl val="0"/>
      </c:catAx>
      <c:valAx>
        <c:axId val="1743033439"/>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1743014719"/>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GA_Instructional_FlightHours!$B$2</c:f>
              <c:strCache>
                <c:ptCount val="1"/>
                <c:pt idx="0">
                  <c:v>General Aviation Instructional Flying Hours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strRef>
              <c:f>GA_Instructional_FlightHours!$A$3:$A$12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GA_Instructional_FlightHours!$B$3:$B$12</c:f>
              <c:numCache>
                <c:formatCode>General</c:formatCode>
                <c:ptCount val="10"/>
                <c:pt idx="0">
                  <c:v>38.85</c:v>
                </c:pt>
                <c:pt idx="2">
                  <c:v>37.267139999999998</c:v>
                </c:pt>
                <c:pt idx="3">
                  <c:v>39.776859999999999</c:v>
                </c:pt>
                <c:pt idx="4">
                  <c:v>38.182470000000002</c:v>
                </c:pt>
                <c:pt idx="5">
                  <c:v>46.484479999999998</c:v>
                </c:pt>
                <c:pt idx="6">
                  <c:v>48.85521</c:v>
                </c:pt>
                <c:pt idx="7">
                  <c:v>50.738050000000001</c:v>
                </c:pt>
                <c:pt idx="8">
                  <c:v>56.818449999999999</c:v>
                </c:pt>
                <c:pt idx="9">
                  <c:v>64.17192</c:v>
                </c:pt>
              </c:numCache>
            </c:numRef>
          </c:val>
          <c:smooth val="0"/>
          <c:extLst>
            <c:ext xmlns:c16="http://schemas.microsoft.com/office/drawing/2014/chart" uri="{C3380CC4-5D6E-409C-BE32-E72D297353CC}">
              <c16:uniqueId val="{00000003-C672-4BC6-9A29-A4AC9BB7CBC6}"/>
            </c:ext>
          </c:extLst>
        </c:ser>
        <c:dLbls>
          <c:showLegendKey val="0"/>
          <c:showVal val="0"/>
          <c:showCatName val="0"/>
          <c:showSerName val="0"/>
          <c:showPercent val="0"/>
          <c:showBubbleSize val="0"/>
        </c:dLbls>
        <c:marker val="1"/>
        <c:smooth val="0"/>
        <c:axId val="1743010975"/>
        <c:axId val="1743025951"/>
      </c:lineChart>
      <c:catAx>
        <c:axId val="1743010975"/>
        <c:scaling>
          <c:orientation val="minMax"/>
        </c:scaling>
        <c:delete val="0"/>
        <c:axPos val="b"/>
        <c:title>
          <c:tx>
            <c:strRef>
              <c:f>GA_Instructional_FlightHours!$A$2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025951"/>
        <c:crosses val="autoZero"/>
        <c:auto val="1"/>
        <c:lblAlgn val="ctr"/>
        <c:lblOffset val="0"/>
        <c:noMultiLvlLbl val="0"/>
      </c:catAx>
      <c:valAx>
        <c:axId val="1743025951"/>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1743010975"/>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GA_Instructional_Accidents!$C$2</c:f>
              <c:strCache>
                <c:ptCount val="1"/>
                <c:pt idx="0">
                  <c:v>Total</c:v>
                </c:pt>
              </c:strCache>
            </c:strRef>
          </c:tx>
          <c:spPr>
            <a:solidFill>
              <a:srgbClr val="67A3F3"/>
            </a:solidFill>
            <a:ln w="6350">
              <a:solidFill>
                <a:srgbClr val="1A3B69"/>
              </a:solidFill>
              <a:prstDash val="solid"/>
            </a:ln>
          </c:spPr>
          <c:invertIfNegative val="0"/>
          <c:cat>
            <c:numRef>
              <c:f>GA_Instructional_Accidents!$A$3:$A$12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GA_Instructional_Accidents!$C$3:$C$12</c:f>
              <c:numCache>
                <c:formatCode>General</c:formatCode>
                <c:ptCount val="10"/>
                <c:pt idx="0">
                  <c:v>172</c:v>
                </c:pt>
                <c:pt idx="1">
                  <c:v>183</c:v>
                </c:pt>
                <c:pt idx="2">
                  <c:v>205</c:v>
                </c:pt>
                <c:pt idx="3">
                  <c:v>170</c:v>
                </c:pt>
                <c:pt idx="4">
                  <c:v>163</c:v>
                </c:pt>
                <c:pt idx="5">
                  <c:v>142</c:v>
                </c:pt>
                <c:pt idx="6">
                  <c:v>184</c:v>
                </c:pt>
                <c:pt idx="7">
                  <c:v>192</c:v>
                </c:pt>
                <c:pt idx="8">
                  <c:v>202</c:v>
                </c:pt>
                <c:pt idx="9">
                  <c:v>195</c:v>
                </c:pt>
              </c:numCache>
            </c:numRef>
          </c:val>
          <c:extLst>
            <c:ext xmlns:c16="http://schemas.microsoft.com/office/drawing/2014/chart" uri="{C3380CC4-5D6E-409C-BE32-E72D297353CC}">
              <c16:uniqueId val="{00000005-D82B-4BEA-B406-97AA17E9065F}"/>
            </c:ext>
          </c:extLst>
        </c:ser>
        <c:ser>
          <c:idx val="0"/>
          <c:order val="1"/>
          <c:tx>
            <c:strRef>
              <c:f>GA_Instructional_Accidents!$B$2</c:f>
              <c:strCache>
                <c:ptCount val="1"/>
                <c:pt idx="0">
                  <c:v>Fatal</c:v>
                </c:pt>
              </c:strCache>
            </c:strRef>
          </c:tx>
          <c:spPr>
            <a:solidFill>
              <a:srgbClr val="FDC367"/>
            </a:solidFill>
            <a:ln w="6350">
              <a:solidFill>
                <a:srgbClr val="1A3B69"/>
              </a:solidFill>
              <a:prstDash val="solid"/>
            </a:ln>
          </c:spPr>
          <c:invertIfNegative val="0"/>
          <c:cat>
            <c:numRef>
              <c:f>GA_Instructional_Accidents!$A$3:$A$12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GA_Instructional_Accidents!$B$3:$B$12</c:f>
              <c:numCache>
                <c:formatCode>General</c:formatCode>
                <c:ptCount val="10"/>
                <c:pt idx="0">
                  <c:v>17</c:v>
                </c:pt>
                <c:pt idx="1">
                  <c:v>15</c:v>
                </c:pt>
                <c:pt idx="2">
                  <c:v>18</c:v>
                </c:pt>
                <c:pt idx="3">
                  <c:v>15</c:v>
                </c:pt>
                <c:pt idx="4">
                  <c:v>21</c:v>
                </c:pt>
                <c:pt idx="5">
                  <c:v>14</c:v>
                </c:pt>
                <c:pt idx="6">
                  <c:v>19</c:v>
                </c:pt>
                <c:pt idx="7">
                  <c:v>20</c:v>
                </c:pt>
                <c:pt idx="8">
                  <c:v>15</c:v>
                </c:pt>
                <c:pt idx="9">
                  <c:v>15</c:v>
                </c:pt>
              </c:numCache>
            </c:numRef>
          </c:val>
          <c:extLst>
            <c:ext xmlns:c16="http://schemas.microsoft.com/office/drawing/2014/chart" uri="{C3380CC4-5D6E-409C-BE32-E72D297353CC}">
              <c16:uniqueId val="{00000004-D82B-4BEA-B406-97AA17E9065F}"/>
            </c:ext>
          </c:extLst>
        </c:ser>
        <c:dLbls>
          <c:showLegendKey val="0"/>
          <c:showVal val="0"/>
          <c:showCatName val="0"/>
          <c:showSerName val="0"/>
          <c:showPercent val="0"/>
          <c:showBubbleSize val="0"/>
        </c:dLbls>
        <c:gapWidth val="36"/>
        <c:axId val="1743216479"/>
        <c:axId val="1743219807"/>
      </c:barChart>
      <c:catAx>
        <c:axId val="1743216479"/>
        <c:scaling>
          <c:orientation val="minMax"/>
        </c:scaling>
        <c:delete val="0"/>
        <c:axPos val="b"/>
        <c:title>
          <c:tx>
            <c:strRef>
              <c:f>GA_Instructional_Accidents!$A$2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219807"/>
        <c:crosses val="autoZero"/>
        <c:auto val="1"/>
        <c:lblAlgn val="ctr"/>
        <c:lblOffset val="0"/>
        <c:noMultiLvlLbl val="0"/>
      </c:catAx>
      <c:valAx>
        <c:axId val="1743219807"/>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1743216479"/>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GA_Instructional_AccRate!$C$2</c:f>
              <c:strCache>
                <c:ptCount val="1"/>
                <c:pt idx="0">
                  <c:v>Total</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GA_Instructional_AccRate!$A$3:$A$12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GA_Instructional_AccRate!$C$3:$C$12</c:f>
              <c:numCache>
                <c:formatCode>General</c:formatCode>
                <c:ptCount val="10"/>
                <c:pt idx="0">
                  <c:v>4.4272844272844267</c:v>
                </c:pt>
                <c:pt idx="2">
                  <c:v>5.5008245870222403</c:v>
                </c:pt>
                <c:pt idx="3">
                  <c:v>4.2738416255078961</c:v>
                </c:pt>
                <c:pt idx="4">
                  <c:v>4.2689747415502453</c:v>
                </c:pt>
                <c:pt idx="5">
                  <c:v>3.0547830157506333</c:v>
                </c:pt>
                <c:pt idx="6">
                  <c:v>3.7457622226984593</c:v>
                </c:pt>
                <c:pt idx="7">
                  <c:v>3.7841422758659427</c:v>
                </c:pt>
                <c:pt idx="8">
                  <c:v>3.5551832195352038</c:v>
                </c:pt>
                <c:pt idx="9">
                  <c:v>3.038712259193741</c:v>
                </c:pt>
              </c:numCache>
            </c:numRef>
          </c:val>
          <c:smooth val="0"/>
          <c:extLst>
            <c:ext xmlns:c16="http://schemas.microsoft.com/office/drawing/2014/chart" uri="{C3380CC4-5D6E-409C-BE32-E72D297353CC}">
              <c16:uniqueId val="{00000005-EE6F-43D6-9D60-4147462C3C05}"/>
            </c:ext>
          </c:extLst>
        </c:ser>
        <c:ser>
          <c:idx val="0"/>
          <c:order val="1"/>
          <c:tx>
            <c:strRef>
              <c:f>GA_Instructional_AccRate!$B$2</c:f>
              <c:strCache>
                <c:ptCount val="1"/>
                <c:pt idx="0">
                  <c:v>Fatal</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GA_Instructional_AccRate!$A$3:$A$12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GA_Instructional_AccRate!$B$3:$B$12</c:f>
              <c:numCache>
                <c:formatCode>General</c:formatCode>
                <c:ptCount val="10"/>
                <c:pt idx="0">
                  <c:v>0.43758043758043758</c:v>
                </c:pt>
                <c:pt idx="2">
                  <c:v>0.48299923203122108</c:v>
                </c:pt>
                <c:pt idx="3">
                  <c:v>0.37710367283893198</c:v>
                </c:pt>
                <c:pt idx="4">
                  <c:v>0.54999061087457146</c:v>
                </c:pt>
                <c:pt idx="5">
                  <c:v>0.30117579028527375</c:v>
                </c:pt>
                <c:pt idx="6">
                  <c:v>0.36843562846214356</c:v>
                </c:pt>
                <c:pt idx="7">
                  <c:v>0.39418148706936901</c:v>
                </c:pt>
                <c:pt idx="8">
                  <c:v>0.26399875392588146</c:v>
                </c:pt>
                <c:pt idx="9">
                  <c:v>0.23374709686105699</c:v>
                </c:pt>
              </c:numCache>
            </c:numRef>
          </c:val>
          <c:smooth val="0"/>
          <c:extLst>
            <c:ext xmlns:c16="http://schemas.microsoft.com/office/drawing/2014/chart" uri="{C3380CC4-5D6E-409C-BE32-E72D297353CC}">
              <c16:uniqueId val="{00000004-EE6F-43D6-9D60-4147462C3C05}"/>
            </c:ext>
          </c:extLst>
        </c:ser>
        <c:dLbls>
          <c:showLegendKey val="0"/>
          <c:showVal val="0"/>
          <c:showCatName val="0"/>
          <c:showSerName val="0"/>
          <c:showPercent val="0"/>
          <c:showBubbleSize val="0"/>
        </c:dLbls>
        <c:marker val="1"/>
        <c:smooth val="0"/>
        <c:axId val="1740658271"/>
        <c:axId val="1740670335"/>
      </c:lineChart>
      <c:catAx>
        <c:axId val="1740658271"/>
        <c:scaling>
          <c:orientation val="minMax"/>
        </c:scaling>
        <c:delete val="0"/>
        <c:axPos val="b"/>
        <c:title>
          <c:tx>
            <c:strRef>
              <c:f>GA_Instructional_AccRate!$A$2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0670335"/>
        <c:crosses val="autoZero"/>
        <c:auto val="1"/>
        <c:lblAlgn val="ctr"/>
        <c:lblOffset val="0"/>
        <c:noMultiLvlLbl val="0"/>
      </c:catAx>
      <c:valAx>
        <c:axId val="1740670335"/>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spPr>
          <a:ln w="6350">
            <a:solidFill>
              <a:srgbClr val="1A3B69"/>
            </a:solidFill>
          </a:ln>
        </c:spPr>
        <c:crossAx val="1740658271"/>
        <c:crosses val="autoZero"/>
        <c:crossBetween val="midCat"/>
      </c:valAx>
      <c:spPr>
        <a:solidFill>
          <a:srgbClr val="FFFFFF"/>
        </a:solidFill>
        <a:ln w="6350">
          <a:solidFill>
            <a:srgbClr val="A5A5A5"/>
          </a:solidFill>
        </a:ln>
      </c:spPr>
    </c:plotArea>
    <c:legend>
      <c:legendPos val="tr"/>
      <c:layout>
        <c:manualLayout>
          <c:xMode val="edge"/>
          <c:yMode val="edge"/>
          <c:x val="0.84551640419947494"/>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GA_Instructional_DefiningEvent!$B$2</c:f>
              <c:strCache>
                <c:ptCount val="1"/>
                <c:pt idx="0">
                  <c:v>Fatal</c:v>
                </c:pt>
              </c:strCache>
            </c:strRef>
          </c:tx>
          <c:spPr>
            <a:solidFill>
              <a:srgbClr val="FDC367"/>
            </a:solidFill>
            <a:ln w="6350">
              <a:solidFill>
                <a:srgbClr val="1A3B69"/>
              </a:solidFill>
              <a:prstDash val="solid"/>
            </a:ln>
          </c:spPr>
          <c:invertIfNegative val="0"/>
          <c:cat>
            <c:strRef>
              <c:f>GA_Instructional_DefiningEvent!$A$3:$A$22</c:f>
              <c:strCache>
                <c:ptCount val="20"/>
                <c:pt idx="0">
                  <c:v>Loss of Control on Ground</c:v>
                </c:pt>
                <c:pt idx="1">
                  <c:v>Loss of Control In-Flight</c:v>
                </c:pt>
                <c:pt idx="2">
                  <c:v>Abnormal Runway Contact</c:v>
                </c:pt>
                <c:pt idx="3">
                  <c:v>System/Component Failure - Powerplant</c:v>
                </c:pt>
                <c:pt idx="4">
                  <c:v>Fuel Related</c:v>
                </c:pt>
                <c:pt idx="5">
                  <c:v>Ground Collision</c:v>
                </c:pt>
                <c:pt idx="6">
                  <c:v>Runway Excursion</c:v>
                </c:pt>
                <c:pt idx="7">
                  <c:v>Collision on Takeoff or Landing</c:v>
                </c:pt>
                <c:pt idx="8">
                  <c:v>System/Component Failure - Non-power</c:v>
                </c:pt>
                <c:pt idx="9">
                  <c:v>Midair</c:v>
                </c:pt>
                <c:pt idx="10">
                  <c:v>Unintended Flight Into IMC</c:v>
                </c:pt>
                <c:pt idx="11">
                  <c:v>Abrupt Maneuver</c:v>
                </c:pt>
                <c:pt idx="12">
                  <c:v>Aerodrome</c:v>
                </c:pt>
                <c:pt idx="13">
                  <c:v>Bird Strike</c:v>
                </c:pt>
                <c:pt idx="14">
                  <c:v>Runway Incursion - Vehicle</c:v>
                </c:pt>
                <c:pt idx="15">
                  <c:v>Controlled Flight Into Terrain</c:v>
                </c:pt>
                <c:pt idx="16">
                  <c:v>Fire - Non-Impact</c:v>
                </c:pt>
                <c:pt idx="17">
                  <c:v>Ground Handling</c:v>
                </c:pt>
                <c:pt idx="18">
                  <c:v>Loss of Lift</c:v>
                </c:pt>
                <c:pt idx="19">
                  <c:v>Unknown</c:v>
                </c:pt>
              </c:strCache>
            </c:strRef>
          </c:cat>
          <c:val>
            <c:numRef>
              <c:f>GA_Instructional_DefiningEvent!$B$3:$B$22</c:f>
              <c:numCache>
                <c:formatCode>General</c:formatCode>
                <c:ptCount val="20"/>
                <c:pt idx="0">
                  <c:v>0</c:v>
                </c:pt>
                <c:pt idx="1">
                  <c:v>9</c:v>
                </c:pt>
                <c:pt idx="2">
                  <c:v>0</c:v>
                </c:pt>
                <c:pt idx="3">
                  <c:v>2</c:v>
                </c:pt>
                <c:pt idx="4">
                  <c:v>1</c:v>
                </c:pt>
                <c:pt idx="5">
                  <c:v>0</c:v>
                </c:pt>
                <c:pt idx="6">
                  <c:v>0</c:v>
                </c:pt>
                <c:pt idx="7">
                  <c:v>0</c:v>
                </c:pt>
                <c:pt idx="8">
                  <c:v>0</c:v>
                </c:pt>
                <c:pt idx="9">
                  <c:v>0</c:v>
                </c:pt>
                <c:pt idx="10">
                  <c:v>1</c:v>
                </c:pt>
                <c:pt idx="11">
                  <c:v>0</c:v>
                </c:pt>
                <c:pt idx="12">
                  <c:v>0</c:v>
                </c:pt>
                <c:pt idx="13">
                  <c:v>0</c:v>
                </c:pt>
                <c:pt idx="14">
                  <c:v>1</c:v>
                </c:pt>
                <c:pt idx="15">
                  <c:v>0</c:v>
                </c:pt>
                <c:pt idx="16">
                  <c:v>0</c:v>
                </c:pt>
                <c:pt idx="17">
                  <c:v>0</c:v>
                </c:pt>
                <c:pt idx="18">
                  <c:v>0</c:v>
                </c:pt>
                <c:pt idx="19">
                  <c:v>1</c:v>
                </c:pt>
              </c:numCache>
            </c:numRef>
          </c:val>
          <c:extLst>
            <c:ext xmlns:c16="http://schemas.microsoft.com/office/drawing/2014/chart" uri="{C3380CC4-5D6E-409C-BE32-E72D297353CC}">
              <c16:uniqueId val="{00000003-A565-4834-8F62-1BD98370B775}"/>
            </c:ext>
          </c:extLst>
        </c:ser>
        <c:ser>
          <c:idx val="1"/>
          <c:order val="1"/>
          <c:tx>
            <c:strRef>
              <c:f>GA_Instructional_DefiningEvent!$C$2</c:f>
              <c:strCache>
                <c:ptCount val="1"/>
                <c:pt idx="0">
                  <c:v>Non-Fatal</c:v>
                </c:pt>
              </c:strCache>
            </c:strRef>
          </c:tx>
          <c:spPr>
            <a:solidFill>
              <a:srgbClr val="67A3F3"/>
            </a:solidFill>
            <a:ln w="6350">
              <a:solidFill>
                <a:srgbClr val="1A3B69"/>
              </a:solidFill>
              <a:prstDash val="solid"/>
            </a:ln>
          </c:spPr>
          <c:invertIfNegative val="0"/>
          <c:cat>
            <c:strRef>
              <c:f>GA_Instructional_DefiningEvent!$A$3:$A$22</c:f>
              <c:strCache>
                <c:ptCount val="20"/>
                <c:pt idx="0">
                  <c:v>Loss of Control on Ground</c:v>
                </c:pt>
                <c:pt idx="1">
                  <c:v>Loss of Control In-Flight</c:v>
                </c:pt>
                <c:pt idx="2">
                  <c:v>Abnormal Runway Contact</c:v>
                </c:pt>
                <c:pt idx="3">
                  <c:v>System/Component Failure - Powerplant</c:v>
                </c:pt>
                <c:pt idx="4">
                  <c:v>Fuel Related</c:v>
                </c:pt>
                <c:pt idx="5">
                  <c:v>Ground Collision</c:v>
                </c:pt>
                <c:pt idx="6">
                  <c:v>Runway Excursion</c:v>
                </c:pt>
                <c:pt idx="7">
                  <c:v>Collision on Takeoff or Landing</c:v>
                </c:pt>
                <c:pt idx="8">
                  <c:v>System/Component Failure - Non-power</c:v>
                </c:pt>
                <c:pt idx="9">
                  <c:v>Midair</c:v>
                </c:pt>
                <c:pt idx="10">
                  <c:v>Unintended Flight Into IMC</c:v>
                </c:pt>
                <c:pt idx="11">
                  <c:v>Abrupt Maneuver</c:v>
                </c:pt>
                <c:pt idx="12">
                  <c:v>Aerodrome</c:v>
                </c:pt>
                <c:pt idx="13">
                  <c:v>Bird Strike</c:v>
                </c:pt>
                <c:pt idx="14">
                  <c:v>Runway Incursion - Vehicle</c:v>
                </c:pt>
                <c:pt idx="15">
                  <c:v>Controlled Flight Into Terrain</c:v>
                </c:pt>
                <c:pt idx="16">
                  <c:v>Fire - Non-Impact</c:v>
                </c:pt>
                <c:pt idx="17">
                  <c:v>Ground Handling</c:v>
                </c:pt>
                <c:pt idx="18">
                  <c:v>Loss of Lift</c:v>
                </c:pt>
                <c:pt idx="19">
                  <c:v>Unknown</c:v>
                </c:pt>
              </c:strCache>
            </c:strRef>
          </c:cat>
          <c:val>
            <c:numRef>
              <c:f>GA_Instructional_DefiningEvent!$C$3:$C$22</c:f>
              <c:numCache>
                <c:formatCode>General</c:formatCode>
                <c:ptCount val="20"/>
                <c:pt idx="0">
                  <c:v>52</c:v>
                </c:pt>
                <c:pt idx="1">
                  <c:v>30</c:v>
                </c:pt>
                <c:pt idx="2">
                  <c:v>34</c:v>
                </c:pt>
                <c:pt idx="3">
                  <c:v>19</c:v>
                </c:pt>
                <c:pt idx="4">
                  <c:v>8</c:v>
                </c:pt>
                <c:pt idx="5">
                  <c:v>8</c:v>
                </c:pt>
                <c:pt idx="6">
                  <c:v>7</c:v>
                </c:pt>
                <c:pt idx="7">
                  <c:v>5</c:v>
                </c:pt>
                <c:pt idx="8">
                  <c:v>4</c:v>
                </c:pt>
                <c:pt idx="9">
                  <c:v>3</c:v>
                </c:pt>
                <c:pt idx="10">
                  <c:v>1</c:v>
                </c:pt>
                <c:pt idx="11">
                  <c:v>2</c:v>
                </c:pt>
                <c:pt idx="12">
                  <c:v>2</c:v>
                </c:pt>
                <c:pt idx="13">
                  <c:v>2</c:v>
                </c:pt>
                <c:pt idx="14">
                  <c:v>0</c:v>
                </c:pt>
                <c:pt idx="15">
                  <c:v>1</c:v>
                </c:pt>
                <c:pt idx="16">
                  <c:v>1</c:v>
                </c:pt>
                <c:pt idx="17">
                  <c:v>1</c:v>
                </c:pt>
                <c:pt idx="18">
                  <c:v>1</c:v>
                </c:pt>
                <c:pt idx="19">
                  <c:v>3</c:v>
                </c:pt>
              </c:numCache>
            </c:numRef>
          </c:val>
          <c:extLst>
            <c:ext xmlns:c16="http://schemas.microsoft.com/office/drawing/2014/chart" uri="{C3380CC4-5D6E-409C-BE32-E72D297353CC}">
              <c16:uniqueId val="{00000004-A565-4834-8F62-1BD98370B775}"/>
            </c:ext>
          </c:extLst>
        </c:ser>
        <c:dLbls>
          <c:showLegendKey val="0"/>
          <c:showVal val="0"/>
          <c:showCatName val="0"/>
          <c:showSerName val="0"/>
          <c:showPercent val="0"/>
          <c:showBubbleSize val="0"/>
        </c:dLbls>
        <c:gapWidth val="36"/>
        <c:overlap val="100"/>
        <c:axId val="1740672415"/>
        <c:axId val="1740675743"/>
      </c:barChart>
      <c:catAx>
        <c:axId val="1740672415"/>
        <c:scaling>
          <c:orientation val="maxMin"/>
        </c:scaling>
        <c:delete val="0"/>
        <c:axPos val="l"/>
        <c:title>
          <c:tx>
            <c:strRef>
              <c:f>GA_Instructional_DefiningEvent!$A$2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1740675743"/>
        <c:crosses val="autoZero"/>
        <c:auto val="1"/>
        <c:lblAlgn val="ctr"/>
        <c:lblOffset val="0"/>
        <c:noMultiLvlLbl val="0"/>
      </c:catAx>
      <c:valAx>
        <c:axId val="1740675743"/>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40672415"/>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GA_Instructional_PhaseOfFlight!$B$2</c:f>
              <c:strCache>
                <c:ptCount val="1"/>
                <c:pt idx="0">
                  <c:v>Fatal</c:v>
                </c:pt>
              </c:strCache>
            </c:strRef>
          </c:tx>
          <c:spPr>
            <a:solidFill>
              <a:srgbClr val="FDC367"/>
            </a:solidFill>
            <a:ln w="6350">
              <a:solidFill>
                <a:srgbClr val="1A3B69"/>
              </a:solidFill>
              <a:prstDash val="solid"/>
            </a:ln>
          </c:spPr>
          <c:invertIfNegative val="0"/>
          <c:cat>
            <c:strRef>
              <c:f>GA_Instructional_PhaseOfFlight!$A$3:$A$11</c:f>
              <c:strCache>
                <c:ptCount val="9"/>
                <c:pt idx="0">
                  <c:v>Landing</c:v>
                </c:pt>
                <c:pt idx="1">
                  <c:v>Takeoff</c:v>
                </c:pt>
                <c:pt idx="2">
                  <c:v>Approach</c:v>
                </c:pt>
                <c:pt idx="3">
                  <c:v>Maneuvering</c:v>
                </c:pt>
                <c:pt idx="4">
                  <c:v>Taxi</c:v>
                </c:pt>
                <c:pt idx="5">
                  <c:v>Initial Climb</c:v>
                </c:pt>
                <c:pt idx="6">
                  <c:v>Enroute</c:v>
                </c:pt>
                <c:pt idx="7">
                  <c:v>Emergency Descent</c:v>
                </c:pt>
                <c:pt idx="8">
                  <c:v>Standing</c:v>
                </c:pt>
              </c:strCache>
            </c:strRef>
          </c:cat>
          <c:val>
            <c:numRef>
              <c:f>GA_Instructional_PhaseOfFlight!$B$3:$B$11</c:f>
              <c:numCache>
                <c:formatCode>General</c:formatCode>
                <c:ptCount val="9"/>
                <c:pt idx="0">
                  <c:v>2</c:v>
                </c:pt>
                <c:pt idx="1">
                  <c:v>0</c:v>
                </c:pt>
                <c:pt idx="2">
                  <c:v>3</c:v>
                </c:pt>
                <c:pt idx="3">
                  <c:v>1</c:v>
                </c:pt>
                <c:pt idx="4">
                  <c:v>0</c:v>
                </c:pt>
                <c:pt idx="5">
                  <c:v>9</c:v>
                </c:pt>
                <c:pt idx="6">
                  <c:v>0</c:v>
                </c:pt>
                <c:pt idx="7">
                  <c:v>0</c:v>
                </c:pt>
                <c:pt idx="8">
                  <c:v>0</c:v>
                </c:pt>
              </c:numCache>
            </c:numRef>
          </c:val>
          <c:extLst>
            <c:ext xmlns:c16="http://schemas.microsoft.com/office/drawing/2014/chart" uri="{C3380CC4-5D6E-409C-BE32-E72D297353CC}">
              <c16:uniqueId val="{00000003-287D-4E6B-94E5-19B8AA6E0649}"/>
            </c:ext>
          </c:extLst>
        </c:ser>
        <c:ser>
          <c:idx val="1"/>
          <c:order val="1"/>
          <c:tx>
            <c:strRef>
              <c:f>GA_Instructional_PhaseOfFlight!$C$2</c:f>
              <c:strCache>
                <c:ptCount val="1"/>
                <c:pt idx="0">
                  <c:v>Non-Fatal</c:v>
                </c:pt>
              </c:strCache>
            </c:strRef>
          </c:tx>
          <c:spPr>
            <a:solidFill>
              <a:srgbClr val="67A3F3"/>
            </a:solidFill>
            <a:ln w="6350">
              <a:solidFill>
                <a:srgbClr val="1A3B69"/>
              </a:solidFill>
              <a:prstDash val="solid"/>
            </a:ln>
          </c:spPr>
          <c:invertIfNegative val="0"/>
          <c:cat>
            <c:strRef>
              <c:f>GA_Instructional_PhaseOfFlight!$A$3:$A$11</c:f>
              <c:strCache>
                <c:ptCount val="9"/>
                <c:pt idx="0">
                  <c:v>Landing</c:v>
                </c:pt>
                <c:pt idx="1">
                  <c:v>Takeoff</c:v>
                </c:pt>
                <c:pt idx="2">
                  <c:v>Approach</c:v>
                </c:pt>
                <c:pt idx="3">
                  <c:v>Maneuvering</c:v>
                </c:pt>
                <c:pt idx="4">
                  <c:v>Taxi</c:v>
                </c:pt>
                <c:pt idx="5">
                  <c:v>Initial Climb</c:v>
                </c:pt>
                <c:pt idx="6">
                  <c:v>Enroute</c:v>
                </c:pt>
                <c:pt idx="7">
                  <c:v>Emergency Descent</c:v>
                </c:pt>
                <c:pt idx="8">
                  <c:v>Standing</c:v>
                </c:pt>
              </c:strCache>
            </c:strRef>
          </c:cat>
          <c:val>
            <c:numRef>
              <c:f>GA_Instructional_PhaseOfFlight!$C$3:$C$11</c:f>
              <c:numCache>
                <c:formatCode>General</c:formatCode>
                <c:ptCount val="9"/>
                <c:pt idx="0">
                  <c:v>84</c:v>
                </c:pt>
                <c:pt idx="1">
                  <c:v>34</c:v>
                </c:pt>
                <c:pt idx="2">
                  <c:v>20</c:v>
                </c:pt>
                <c:pt idx="3">
                  <c:v>13</c:v>
                </c:pt>
                <c:pt idx="4">
                  <c:v>14</c:v>
                </c:pt>
                <c:pt idx="5">
                  <c:v>4</c:v>
                </c:pt>
                <c:pt idx="6">
                  <c:v>10</c:v>
                </c:pt>
                <c:pt idx="7">
                  <c:v>3</c:v>
                </c:pt>
                <c:pt idx="8">
                  <c:v>2</c:v>
                </c:pt>
              </c:numCache>
            </c:numRef>
          </c:val>
          <c:extLst>
            <c:ext xmlns:c16="http://schemas.microsoft.com/office/drawing/2014/chart" uri="{C3380CC4-5D6E-409C-BE32-E72D297353CC}">
              <c16:uniqueId val="{00000004-287D-4E6B-94E5-19B8AA6E0649}"/>
            </c:ext>
          </c:extLst>
        </c:ser>
        <c:dLbls>
          <c:showLegendKey val="0"/>
          <c:showVal val="0"/>
          <c:showCatName val="0"/>
          <c:showSerName val="0"/>
          <c:showPercent val="0"/>
          <c:showBubbleSize val="0"/>
        </c:dLbls>
        <c:gapWidth val="36"/>
        <c:overlap val="100"/>
        <c:axId val="1740622495"/>
        <c:axId val="1740616671"/>
      </c:barChart>
      <c:catAx>
        <c:axId val="1740622495"/>
        <c:scaling>
          <c:orientation val="maxMin"/>
        </c:scaling>
        <c:delete val="0"/>
        <c:axPos val="l"/>
        <c:title>
          <c:tx>
            <c:strRef>
              <c:f>GA_Instructional_PhaseOfFlight!$A$2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1740616671"/>
        <c:crosses val="autoZero"/>
        <c:auto val="1"/>
        <c:lblAlgn val="ctr"/>
        <c:lblOffset val="0"/>
        <c:noMultiLvlLbl val="0"/>
      </c:catAx>
      <c:valAx>
        <c:axId val="1740616671"/>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40622495"/>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GA_Business_FlightHours!$B$2</c:f>
              <c:strCache>
                <c:ptCount val="1"/>
                <c:pt idx="0">
                  <c:v>General Aviation Business Flying Hours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strRef>
              <c:f>GA_Business_FlightHours!$A$3:$A$12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GA_Business_FlightHours!$B$3:$B$12</c:f>
              <c:numCache>
                <c:formatCode>General</c:formatCode>
                <c:ptCount val="10"/>
                <c:pt idx="0">
                  <c:v>23.87</c:v>
                </c:pt>
                <c:pt idx="2">
                  <c:v>21.263960000000001</c:v>
                </c:pt>
                <c:pt idx="3">
                  <c:v>17.166119999999999</c:v>
                </c:pt>
                <c:pt idx="4">
                  <c:v>17.44557</c:v>
                </c:pt>
                <c:pt idx="5">
                  <c:v>18.387730000000001</c:v>
                </c:pt>
                <c:pt idx="6">
                  <c:v>17.788399999999999</c:v>
                </c:pt>
                <c:pt idx="7">
                  <c:v>19.06493</c:v>
                </c:pt>
                <c:pt idx="8">
                  <c:v>16.94727</c:v>
                </c:pt>
                <c:pt idx="9">
                  <c:v>16.348189999999999</c:v>
                </c:pt>
              </c:numCache>
            </c:numRef>
          </c:val>
          <c:smooth val="0"/>
          <c:extLst>
            <c:ext xmlns:c16="http://schemas.microsoft.com/office/drawing/2014/chart" uri="{C3380CC4-5D6E-409C-BE32-E72D297353CC}">
              <c16:uniqueId val="{00000003-3447-47EF-A939-065DC8C561F2}"/>
            </c:ext>
          </c:extLst>
        </c:ser>
        <c:dLbls>
          <c:showLegendKey val="0"/>
          <c:showVal val="0"/>
          <c:showCatName val="0"/>
          <c:showSerName val="0"/>
          <c:showPercent val="0"/>
          <c:showBubbleSize val="0"/>
        </c:dLbls>
        <c:marker val="1"/>
        <c:smooth val="0"/>
        <c:axId val="1740677407"/>
        <c:axId val="1740664511"/>
      </c:lineChart>
      <c:catAx>
        <c:axId val="1740677407"/>
        <c:scaling>
          <c:orientation val="minMax"/>
        </c:scaling>
        <c:delete val="0"/>
        <c:axPos val="b"/>
        <c:title>
          <c:tx>
            <c:strRef>
              <c:f>GA_Business_FlightHours!$A$2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0664511"/>
        <c:crosses val="autoZero"/>
        <c:auto val="1"/>
        <c:lblAlgn val="ctr"/>
        <c:lblOffset val="0"/>
        <c:noMultiLvlLbl val="0"/>
      </c:catAx>
      <c:valAx>
        <c:axId val="1740664511"/>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1740677407"/>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GA_Business_Accidents!$C$2</c:f>
              <c:strCache>
                <c:ptCount val="1"/>
                <c:pt idx="0">
                  <c:v>Total</c:v>
                </c:pt>
              </c:strCache>
            </c:strRef>
          </c:tx>
          <c:spPr>
            <a:solidFill>
              <a:srgbClr val="67A3F3"/>
            </a:solidFill>
            <a:ln w="6350">
              <a:solidFill>
                <a:srgbClr val="1A3B69"/>
              </a:solidFill>
              <a:prstDash val="solid"/>
            </a:ln>
          </c:spPr>
          <c:invertIfNegative val="0"/>
          <c:cat>
            <c:numRef>
              <c:f>GA_Business_Accidents!$A$3:$A$12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GA_Business_Accidents!$C$3:$C$12</c:f>
              <c:numCache>
                <c:formatCode>General</c:formatCode>
                <c:ptCount val="10"/>
                <c:pt idx="0">
                  <c:v>34</c:v>
                </c:pt>
                <c:pt idx="1">
                  <c:v>29</c:v>
                </c:pt>
                <c:pt idx="2">
                  <c:v>35</c:v>
                </c:pt>
                <c:pt idx="3">
                  <c:v>34</c:v>
                </c:pt>
                <c:pt idx="4">
                  <c:v>30</c:v>
                </c:pt>
                <c:pt idx="5">
                  <c:v>35</c:v>
                </c:pt>
                <c:pt idx="6">
                  <c:v>32</c:v>
                </c:pt>
                <c:pt idx="7">
                  <c:v>30</c:v>
                </c:pt>
                <c:pt idx="8">
                  <c:v>35</c:v>
                </c:pt>
                <c:pt idx="9">
                  <c:v>38</c:v>
                </c:pt>
              </c:numCache>
            </c:numRef>
          </c:val>
          <c:extLst>
            <c:ext xmlns:c16="http://schemas.microsoft.com/office/drawing/2014/chart" uri="{C3380CC4-5D6E-409C-BE32-E72D297353CC}">
              <c16:uniqueId val="{00000005-76B6-40EE-8CD3-40253F86D9E1}"/>
            </c:ext>
          </c:extLst>
        </c:ser>
        <c:ser>
          <c:idx val="0"/>
          <c:order val="1"/>
          <c:tx>
            <c:strRef>
              <c:f>GA_Business_Accidents!$B$2</c:f>
              <c:strCache>
                <c:ptCount val="1"/>
                <c:pt idx="0">
                  <c:v>Fatal</c:v>
                </c:pt>
              </c:strCache>
            </c:strRef>
          </c:tx>
          <c:spPr>
            <a:solidFill>
              <a:srgbClr val="FDC367"/>
            </a:solidFill>
            <a:ln w="6350">
              <a:solidFill>
                <a:srgbClr val="1A3B69"/>
              </a:solidFill>
              <a:prstDash val="solid"/>
            </a:ln>
          </c:spPr>
          <c:invertIfNegative val="0"/>
          <c:cat>
            <c:numRef>
              <c:f>GA_Business_Accidents!$A$3:$A$12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GA_Business_Accidents!$B$3:$B$12</c:f>
              <c:numCache>
                <c:formatCode>General</c:formatCode>
                <c:ptCount val="10"/>
                <c:pt idx="0">
                  <c:v>11</c:v>
                </c:pt>
                <c:pt idx="1">
                  <c:v>4</c:v>
                </c:pt>
                <c:pt idx="2">
                  <c:v>12</c:v>
                </c:pt>
                <c:pt idx="3">
                  <c:v>10</c:v>
                </c:pt>
                <c:pt idx="4">
                  <c:v>5</c:v>
                </c:pt>
                <c:pt idx="5">
                  <c:v>7</c:v>
                </c:pt>
                <c:pt idx="6">
                  <c:v>6</c:v>
                </c:pt>
                <c:pt idx="7">
                  <c:v>7</c:v>
                </c:pt>
                <c:pt idx="8">
                  <c:v>9</c:v>
                </c:pt>
                <c:pt idx="9">
                  <c:v>11</c:v>
                </c:pt>
              </c:numCache>
            </c:numRef>
          </c:val>
          <c:extLst>
            <c:ext xmlns:c16="http://schemas.microsoft.com/office/drawing/2014/chart" uri="{C3380CC4-5D6E-409C-BE32-E72D297353CC}">
              <c16:uniqueId val="{00000004-76B6-40EE-8CD3-40253F86D9E1}"/>
            </c:ext>
          </c:extLst>
        </c:ser>
        <c:dLbls>
          <c:showLegendKey val="0"/>
          <c:showVal val="0"/>
          <c:showCatName val="0"/>
          <c:showSerName val="0"/>
          <c:showPercent val="0"/>
          <c:showBubbleSize val="0"/>
        </c:dLbls>
        <c:gapWidth val="36"/>
        <c:axId val="1740630399"/>
        <c:axId val="1740637471"/>
      </c:barChart>
      <c:catAx>
        <c:axId val="1740630399"/>
        <c:scaling>
          <c:orientation val="minMax"/>
        </c:scaling>
        <c:delete val="0"/>
        <c:axPos val="b"/>
        <c:title>
          <c:tx>
            <c:strRef>
              <c:f>GA_Business_Accidents!$A$2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0637471"/>
        <c:crosses val="autoZero"/>
        <c:auto val="1"/>
        <c:lblAlgn val="ctr"/>
        <c:lblOffset val="0"/>
        <c:noMultiLvlLbl val="0"/>
      </c:catAx>
      <c:valAx>
        <c:axId val="1740637471"/>
        <c:scaling>
          <c:orientation val="minMax"/>
          <c:max val="45"/>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1740630399"/>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GA_Business_AccRate!$C$2</c:f>
              <c:strCache>
                <c:ptCount val="1"/>
                <c:pt idx="0">
                  <c:v>Total</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GA_Business_AccRate!$A$3:$A$12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GA_Business_AccRate!$C$3:$C$12</c:f>
              <c:numCache>
                <c:formatCode>General</c:formatCode>
                <c:ptCount val="10"/>
                <c:pt idx="0">
                  <c:v>1.4243820695433598</c:v>
                </c:pt>
                <c:pt idx="2">
                  <c:v>1.645977513125495</c:v>
                </c:pt>
                <c:pt idx="3">
                  <c:v>1.9806455972578545</c:v>
                </c:pt>
                <c:pt idx="4">
                  <c:v>1.7196342681838426</c:v>
                </c:pt>
                <c:pt idx="5">
                  <c:v>1.9034432200168263</c:v>
                </c:pt>
                <c:pt idx="6">
                  <c:v>1.7989251422275192</c:v>
                </c:pt>
                <c:pt idx="7">
                  <c:v>1.5735699003353276</c:v>
                </c:pt>
                <c:pt idx="8">
                  <c:v>2.065229385027795</c:v>
                </c:pt>
                <c:pt idx="9">
                  <c:v>2.3244163421149375</c:v>
                </c:pt>
              </c:numCache>
            </c:numRef>
          </c:val>
          <c:smooth val="0"/>
          <c:extLst>
            <c:ext xmlns:c16="http://schemas.microsoft.com/office/drawing/2014/chart" uri="{C3380CC4-5D6E-409C-BE32-E72D297353CC}">
              <c16:uniqueId val="{00000005-AABD-4F96-81C6-DA1460D77A7D}"/>
            </c:ext>
          </c:extLst>
        </c:ser>
        <c:ser>
          <c:idx val="0"/>
          <c:order val="1"/>
          <c:tx>
            <c:strRef>
              <c:f>GA_Business_AccRate!$B$2</c:f>
              <c:strCache>
                <c:ptCount val="1"/>
                <c:pt idx="0">
                  <c:v>Fatal</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GA_Business_AccRate!$A$3:$A$12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GA_Business_AccRate!$B$3:$B$12</c:f>
              <c:numCache>
                <c:formatCode>General</c:formatCode>
                <c:ptCount val="10"/>
                <c:pt idx="0">
                  <c:v>0.46082949308755761</c:v>
                </c:pt>
                <c:pt idx="2">
                  <c:v>0.56433514735731249</c:v>
                </c:pt>
                <c:pt idx="3">
                  <c:v>0.58254282272289837</c:v>
                </c:pt>
                <c:pt idx="4">
                  <c:v>0.28660571136397378</c:v>
                </c:pt>
                <c:pt idx="5">
                  <c:v>0.38068864400336527</c:v>
                </c:pt>
                <c:pt idx="6">
                  <c:v>0.33729846416765985</c:v>
                </c:pt>
                <c:pt idx="7">
                  <c:v>0.36716631007824313</c:v>
                </c:pt>
                <c:pt idx="8">
                  <c:v>0.53105898472143298</c:v>
                </c:pt>
                <c:pt idx="9">
                  <c:v>0.67285736219116621</c:v>
                </c:pt>
              </c:numCache>
            </c:numRef>
          </c:val>
          <c:smooth val="0"/>
          <c:extLst>
            <c:ext xmlns:c16="http://schemas.microsoft.com/office/drawing/2014/chart" uri="{C3380CC4-5D6E-409C-BE32-E72D297353CC}">
              <c16:uniqueId val="{00000004-AABD-4F96-81C6-DA1460D77A7D}"/>
            </c:ext>
          </c:extLst>
        </c:ser>
        <c:dLbls>
          <c:showLegendKey val="0"/>
          <c:showVal val="0"/>
          <c:showCatName val="0"/>
          <c:showSerName val="0"/>
          <c:showPercent val="0"/>
          <c:showBubbleSize val="0"/>
        </c:dLbls>
        <c:marker val="1"/>
        <c:smooth val="0"/>
        <c:axId val="1740638719"/>
        <c:axId val="1740639135"/>
      </c:lineChart>
      <c:catAx>
        <c:axId val="1740638719"/>
        <c:scaling>
          <c:orientation val="minMax"/>
        </c:scaling>
        <c:delete val="0"/>
        <c:axPos val="b"/>
        <c:title>
          <c:tx>
            <c:strRef>
              <c:f>GA_Business_AccRate!$A$2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0639135"/>
        <c:crosses val="autoZero"/>
        <c:auto val="1"/>
        <c:lblAlgn val="ctr"/>
        <c:lblOffset val="0"/>
        <c:noMultiLvlLbl val="0"/>
      </c:catAx>
      <c:valAx>
        <c:axId val="1740639135"/>
        <c:scaling>
          <c:orientation val="minMax"/>
          <c:max val="3"/>
          <c:min val="0"/>
        </c:scaling>
        <c:delete val="0"/>
        <c:axPos val="l"/>
        <c:title>
          <c:tx>
            <c:rich>
              <a:bodyPr/>
              <a:lstStyle/>
              <a:p>
                <a:pPr>
                  <a:defRPr/>
                </a:pPr>
                <a:r>
                  <a:rPr lang="en-US"/>
                  <a:t>Accidents per 100,000 Flight Hours</a:t>
                </a:r>
              </a:p>
            </c:rich>
          </c:tx>
          <c:overlay val="0"/>
        </c:title>
        <c:numFmt formatCode="#,##0.0;;0" sourceLinked="0"/>
        <c:majorTickMark val="out"/>
        <c:minorTickMark val="none"/>
        <c:tickLblPos val="nextTo"/>
        <c:spPr>
          <a:ln w="6350">
            <a:solidFill>
              <a:srgbClr val="1A3B69"/>
            </a:solidFill>
          </a:ln>
        </c:spPr>
        <c:crossAx val="1740638719"/>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GA_Business_DefiningEvent!$B$2</c:f>
              <c:strCache>
                <c:ptCount val="1"/>
                <c:pt idx="0">
                  <c:v>Fatal</c:v>
                </c:pt>
              </c:strCache>
            </c:strRef>
          </c:tx>
          <c:spPr>
            <a:solidFill>
              <a:srgbClr val="FDC367"/>
            </a:solidFill>
            <a:ln w="6350">
              <a:solidFill>
                <a:srgbClr val="1A3B69"/>
              </a:solidFill>
              <a:prstDash val="solid"/>
            </a:ln>
          </c:spPr>
          <c:invertIfNegative val="0"/>
          <c:cat>
            <c:strRef>
              <c:f>GA_Business_DefiningEvent!$A$3:$A$18</c:f>
              <c:strCache>
                <c:ptCount val="16"/>
                <c:pt idx="0">
                  <c:v>Loss of Control In-Flight</c:v>
                </c:pt>
                <c:pt idx="1">
                  <c:v>Abnormal Runway Contact</c:v>
                </c:pt>
                <c:pt idx="2">
                  <c:v>System/Component Failure - Powerplant</c:v>
                </c:pt>
                <c:pt idx="3">
                  <c:v>Collision on Takeoff or Landing</c:v>
                </c:pt>
                <c:pt idx="4">
                  <c:v>Midair</c:v>
                </c:pt>
                <c:pt idx="5">
                  <c:v>Loss of Control on Ground</c:v>
                </c:pt>
                <c:pt idx="6">
                  <c:v>Runway Excursion</c:v>
                </c:pt>
                <c:pt idx="7">
                  <c:v>Turbulence Encounter</c:v>
                </c:pt>
                <c:pt idx="8">
                  <c:v>Unintended Flight Into IMC</c:v>
                </c:pt>
                <c:pt idx="9">
                  <c:v>Bird Strike</c:v>
                </c:pt>
                <c:pt idx="10">
                  <c:v>Low Altitude Operation</c:v>
                </c:pt>
                <c:pt idx="11">
                  <c:v>System/Component Failure - Non-power</c:v>
                </c:pt>
                <c:pt idx="12">
                  <c:v>Undershoot/Overshoot</c:v>
                </c:pt>
                <c:pt idx="13">
                  <c:v>Wildlife Encounter</c:v>
                </c:pt>
                <c:pt idx="14">
                  <c:v>Windshear/Thunderstorm</c:v>
                </c:pt>
                <c:pt idx="15">
                  <c:v>Other</c:v>
                </c:pt>
              </c:strCache>
            </c:strRef>
          </c:cat>
          <c:val>
            <c:numRef>
              <c:f>GA_Business_DefiningEvent!$B$3:$B$18</c:f>
              <c:numCache>
                <c:formatCode>General</c:formatCode>
                <c:ptCount val="16"/>
                <c:pt idx="0">
                  <c:v>8</c:v>
                </c:pt>
                <c:pt idx="1">
                  <c:v>0</c:v>
                </c:pt>
                <c:pt idx="2">
                  <c:v>1</c:v>
                </c:pt>
                <c:pt idx="3">
                  <c:v>0</c:v>
                </c:pt>
                <c:pt idx="4">
                  <c:v>2</c:v>
                </c:pt>
                <c:pt idx="5">
                  <c:v>0</c:v>
                </c:pt>
                <c:pt idx="6">
                  <c:v>0</c:v>
                </c:pt>
                <c:pt idx="7">
                  <c:v>0</c:v>
                </c:pt>
                <c:pt idx="8">
                  <c:v>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6A6-4D49-AFB7-337479BB871A}"/>
            </c:ext>
          </c:extLst>
        </c:ser>
        <c:ser>
          <c:idx val="1"/>
          <c:order val="1"/>
          <c:tx>
            <c:strRef>
              <c:f>GA_Business_DefiningEvent!$C$2</c:f>
              <c:strCache>
                <c:ptCount val="1"/>
                <c:pt idx="0">
                  <c:v>Non-Fatal</c:v>
                </c:pt>
              </c:strCache>
            </c:strRef>
          </c:tx>
          <c:spPr>
            <a:solidFill>
              <a:srgbClr val="67A3F3"/>
            </a:solidFill>
            <a:ln w="6350">
              <a:solidFill>
                <a:srgbClr val="1A3B69"/>
              </a:solidFill>
              <a:prstDash val="solid"/>
            </a:ln>
          </c:spPr>
          <c:invertIfNegative val="0"/>
          <c:cat>
            <c:strRef>
              <c:f>GA_Business_DefiningEvent!$A$3:$A$18</c:f>
              <c:strCache>
                <c:ptCount val="16"/>
                <c:pt idx="0">
                  <c:v>Loss of Control In-Flight</c:v>
                </c:pt>
                <c:pt idx="1">
                  <c:v>Abnormal Runway Contact</c:v>
                </c:pt>
                <c:pt idx="2">
                  <c:v>System/Component Failure - Powerplant</c:v>
                </c:pt>
                <c:pt idx="3">
                  <c:v>Collision on Takeoff or Landing</c:v>
                </c:pt>
                <c:pt idx="4">
                  <c:v>Midair</c:v>
                </c:pt>
                <c:pt idx="5">
                  <c:v>Loss of Control on Ground</c:v>
                </c:pt>
                <c:pt idx="6">
                  <c:v>Runway Excursion</c:v>
                </c:pt>
                <c:pt idx="7">
                  <c:v>Turbulence Encounter</c:v>
                </c:pt>
                <c:pt idx="8">
                  <c:v>Unintended Flight Into IMC</c:v>
                </c:pt>
                <c:pt idx="9">
                  <c:v>Bird Strike</c:v>
                </c:pt>
                <c:pt idx="10">
                  <c:v>Low Altitude Operation</c:v>
                </c:pt>
                <c:pt idx="11">
                  <c:v>System/Component Failure - Non-power</c:v>
                </c:pt>
                <c:pt idx="12">
                  <c:v>Undershoot/Overshoot</c:v>
                </c:pt>
                <c:pt idx="13">
                  <c:v>Wildlife Encounter</c:v>
                </c:pt>
                <c:pt idx="14">
                  <c:v>Windshear/Thunderstorm</c:v>
                </c:pt>
                <c:pt idx="15">
                  <c:v>Other</c:v>
                </c:pt>
              </c:strCache>
            </c:strRef>
          </c:cat>
          <c:val>
            <c:numRef>
              <c:f>GA_Business_DefiningEvent!$C$3:$C$18</c:f>
              <c:numCache>
                <c:formatCode>General</c:formatCode>
                <c:ptCount val="16"/>
                <c:pt idx="0">
                  <c:v>2</c:v>
                </c:pt>
                <c:pt idx="1">
                  <c:v>7</c:v>
                </c:pt>
                <c:pt idx="2">
                  <c:v>2</c:v>
                </c:pt>
                <c:pt idx="3">
                  <c:v>3</c:v>
                </c:pt>
                <c:pt idx="4">
                  <c:v>0</c:v>
                </c:pt>
                <c:pt idx="5">
                  <c:v>2</c:v>
                </c:pt>
                <c:pt idx="6">
                  <c:v>2</c:v>
                </c:pt>
                <c:pt idx="7">
                  <c:v>2</c:v>
                </c:pt>
                <c:pt idx="8">
                  <c:v>0</c:v>
                </c:pt>
                <c:pt idx="9">
                  <c:v>1</c:v>
                </c:pt>
                <c:pt idx="10">
                  <c:v>1</c:v>
                </c:pt>
                <c:pt idx="11">
                  <c:v>1</c:v>
                </c:pt>
                <c:pt idx="12">
                  <c:v>1</c:v>
                </c:pt>
                <c:pt idx="13">
                  <c:v>1</c:v>
                </c:pt>
                <c:pt idx="14">
                  <c:v>1</c:v>
                </c:pt>
                <c:pt idx="15">
                  <c:v>1</c:v>
                </c:pt>
              </c:numCache>
            </c:numRef>
          </c:val>
          <c:extLst>
            <c:ext xmlns:c16="http://schemas.microsoft.com/office/drawing/2014/chart" uri="{C3380CC4-5D6E-409C-BE32-E72D297353CC}">
              <c16:uniqueId val="{00000004-F6A6-4D49-AFB7-337479BB871A}"/>
            </c:ext>
          </c:extLst>
        </c:ser>
        <c:dLbls>
          <c:showLegendKey val="0"/>
          <c:showVal val="0"/>
          <c:showCatName val="0"/>
          <c:showSerName val="0"/>
          <c:showPercent val="0"/>
          <c:showBubbleSize val="0"/>
        </c:dLbls>
        <c:gapWidth val="36"/>
        <c:overlap val="100"/>
        <c:axId val="1739936223"/>
        <c:axId val="1739942047"/>
      </c:barChart>
      <c:catAx>
        <c:axId val="1739936223"/>
        <c:scaling>
          <c:orientation val="maxMin"/>
        </c:scaling>
        <c:delete val="0"/>
        <c:axPos val="l"/>
        <c:title>
          <c:tx>
            <c:strRef>
              <c:f>GA_Business_DefiningEvent!$A$2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1739942047"/>
        <c:crosses val="autoZero"/>
        <c:auto val="1"/>
        <c:lblAlgn val="ctr"/>
        <c:lblOffset val="0"/>
        <c:noMultiLvlLbl val="0"/>
      </c:catAx>
      <c:valAx>
        <c:axId val="1739942047"/>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39936223"/>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GA_AccRate!$C$2</c:f>
              <c:strCache>
                <c:ptCount val="1"/>
                <c:pt idx="0">
                  <c:v>Total</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GA_AccRate!$A$3:$A$12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GA_AccRate!$C$3:$C$12</c:f>
              <c:numCache>
                <c:formatCode>General</c:formatCode>
                <c:ptCount val="10"/>
                <c:pt idx="0">
                  <c:v>6.630269652329039</c:v>
                </c:pt>
                <c:pt idx="2">
                  <c:v>7.0398950854492428</c:v>
                </c:pt>
                <c:pt idx="3">
                  <c:v>6.2588637309928057</c:v>
                </c:pt>
                <c:pt idx="4">
                  <c:v>6.2291673983729439</c:v>
                </c:pt>
                <c:pt idx="5">
                  <c:v>5.85145697390639</c:v>
                </c:pt>
                <c:pt idx="6">
                  <c:v>5.9342599309910256</c:v>
                </c:pt>
                <c:pt idx="7">
                  <c:v>5.6767080659340428</c:v>
                </c:pt>
                <c:pt idx="8">
                  <c:v>5.8716634399444922</c:v>
                </c:pt>
                <c:pt idx="9">
                  <c:v>5.5869793840002027</c:v>
                </c:pt>
              </c:numCache>
            </c:numRef>
          </c:val>
          <c:smooth val="0"/>
          <c:extLst>
            <c:ext xmlns:c16="http://schemas.microsoft.com/office/drawing/2014/chart" uri="{C3380CC4-5D6E-409C-BE32-E72D297353CC}">
              <c16:uniqueId val="{00000005-8219-475E-9777-0ACF9BDE1F56}"/>
            </c:ext>
          </c:extLst>
        </c:ser>
        <c:ser>
          <c:idx val="0"/>
          <c:order val="1"/>
          <c:tx>
            <c:strRef>
              <c:f>GA_AccRate!$B$2</c:f>
              <c:strCache>
                <c:ptCount val="1"/>
                <c:pt idx="0">
                  <c:v>Fatal</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GA_AccRate!$A$3:$A$12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GA_AccRate!$B$3:$B$12</c:f>
              <c:numCache>
                <c:formatCode>General</c:formatCode>
                <c:ptCount val="10"/>
                <c:pt idx="0">
                  <c:v>1.2402938362145421</c:v>
                </c:pt>
                <c:pt idx="2">
                  <c:v>1.3026200430219006</c:v>
                </c:pt>
                <c:pt idx="3">
                  <c:v>1.1183871257019931</c:v>
                </c:pt>
                <c:pt idx="4">
                  <c:v>1.2998671739648942</c:v>
                </c:pt>
                <c:pt idx="5">
                  <c:v>1.0983631861319303</c:v>
                </c:pt>
                <c:pt idx="6">
                  <c:v>0.98435591272362988</c:v>
                </c:pt>
                <c:pt idx="7">
                  <c:v>0.93536666995504114</c:v>
                </c:pt>
                <c:pt idx="8">
                  <c:v>1.0247714494242746</c:v>
                </c:pt>
                <c:pt idx="9">
                  <c:v>1.064186549333372</c:v>
                </c:pt>
              </c:numCache>
            </c:numRef>
          </c:val>
          <c:smooth val="0"/>
          <c:extLst>
            <c:ext xmlns:c16="http://schemas.microsoft.com/office/drawing/2014/chart" uri="{C3380CC4-5D6E-409C-BE32-E72D297353CC}">
              <c16:uniqueId val="{00000004-8219-475E-9777-0ACF9BDE1F56}"/>
            </c:ext>
          </c:extLst>
        </c:ser>
        <c:dLbls>
          <c:showLegendKey val="0"/>
          <c:showVal val="0"/>
          <c:showCatName val="0"/>
          <c:showSerName val="0"/>
          <c:showPercent val="0"/>
          <c:showBubbleSize val="0"/>
        </c:dLbls>
        <c:marker val="1"/>
        <c:smooth val="0"/>
        <c:axId val="1743149503"/>
        <c:axId val="1743144511"/>
      </c:lineChart>
      <c:catAx>
        <c:axId val="1743149503"/>
        <c:scaling>
          <c:orientation val="minMax"/>
        </c:scaling>
        <c:delete val="0"/>
        <c:axPos val="b"/>
        <c:title>
          <c:tx>
            <c:strRef>
              <c:f>GA_AccRate!$A$2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144511"/>
        <c:crosses val="autoZero"/>
        <c:auto val="1"/>
        <c:lblAlgn val="ctr"/>
        <c:lblOffset val="0"/>
        <c:noMultiLvlLbl val="0"/>
      </c:catAx>
      <c:valAx>
        <c:axId val="1743144511"/>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spPr>
          <a:ln w="6350">
            <a:solidFill>
              <a:srgbClr val="1A3B69"/>
            </a:solidFill>
          </a:ln>
        </c:spPr>
        <c:crossAx val="1743149503"/>
        <c:crosses val="autoZero"/>
        <c:crossBetween val="midCat"/>
      </c:valAx>
      <c:spPr>
        <a:solidFill>
          <a:srgbClr val="FFFFFF"/>
        </a:solidFill>
        <a:ln w="6350">
          <a:solidFill>
            <a:srgbClr val="A5A5A5"/>
          </a:solidFill>
        </a:ln>
      </c:spPr>
    </c:plotArea>
    <c:legend>
      <c:legendPos val="tr"/>
      <c:layout>
        <c:manualLayout>
          <c:xMode val="edge"/>
          <c:yMode val="edge"/>
          <c:x val="0.84551640419947494"/>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GA_Business_PhaseOfFlight!$B$2</c:f>
              <c:strCache>
                <c:ptCount val="1"/>
                <c:pt idx="0">
                  <c:v>Fatal</c:v>
                </c:pt>
              </c:strCache>
            </c:strRef>
          </c:tx>
          <c:spPr>
            <a:solidFill>
              <a:srgbClr val="FDC367"/>
            </a:solidFill>
            <a:ln w="6350">
              <a:solidFill>
                <a:srgbClr val="1A3B69"/>
              </a:solidFill>
              <a:prstDash val="solid"/>
            </a:ln>
          </c:spPr>
          <c:invertIfNegative val="0"/>
          <c:cat>
            <c:strRef>
              <c:f>GA_Business_PhaseOfFlight!$A$3:$A$9</c:f>
              <c:strCache>
                <c:ptCount val="7"/>
                <c:pt idx="0">
                  <c:v>Landing</c:v>
                </c:pt>
                <c:pt idx="1">
                  <c:v>Enroute</c:v>
                </c:pt>
                <c:pt idx="2">
                  <c:v>Approach</c:v>
                </c:pt>
                <c:pt idx="3">
                  <c:v>Maneuvering</c:v>
                </c:pt>
                <c:pt idx="4">
                  <c:v>Initial Climb</c:v>
                </c:pt>
                <c:pt idx="5">
                  <c:v>Takeoff</c:v>
                </c:pt>
                <c:pt idx="6">
                  <c:v>Unknown</c:v>
                </c:pt>
              </c:strCache>
            </c:strRef>
          </c:cat>
          <c:val>
            <c:numRef>
              <c:f>GA_Business_PhaseOfFlight!$B$3:$B$9</c:f>
              <c:numCache>
                <c:formatCode>General</c:formatCode>
                <c:ptCount val="7"/>
                <c:pt idx="0">
                  <c:v>0</c:v>
                </c:pt>
                <c:pt idx="1">
                  <c:v>3</c:v>
                </c:pt>
                <c:pt idx="2">
                  <c:v>4</c:v>
                </c:pt>
                <c:pt idx="3">
                  <c:v>3</c:v>
                </c:pt>
                <c:pt idx="4">
                  <c:v>2</c:v>
                </c:pt>
                <c:pt idx="5">
                  <c:v>0</c:v>
                </c:pt>
                <c:pt idx="6">
                  <c:v>0</c:v>
                </c:pt>
              </c:numCache>
            </c:numRef>
          </c:val>
          <c:extLst>
            <c:ext xmlns:c16="http://schemas.microsoft.com/office/drawing/2014/chart" uri="{C3380CC4-5D6E-409C-BE32-E72D297353CC}">
              <c16:uniqueId val="{00000003-A159-457D-AECC-56CA0C26ADDC}"/>
            </c:ext>
          </c:extLst>
        </c:ser>
        <c:ser>
          <c:idx val="1"/>
          <c:order val="1"/>
          <c:tx>
            <c:strRef>
              <c:f>GA_Business_PhaseOfFlight!$C$2</c:f>
              <c:strCache>
                <c:ptCount val="1"/>
                <c:pt idx="0">
                  <c:v>Non-Fatal</c:v>
                </c:pt>
              </c:strCache>
            </c:strRef>
          </c:tx>
          <c:spPr>
            <a:solidFill>
              <a:srgbClr val="67A3F3"/>
            </a:solidFill>
            <a:ln w="6350">
              <a:solidFill>
                <a:srgbClr val="1A3B69"/>
              </a:solidFill>
              <a:prstDash val="solid"/>
            </a:ln>
          </c:spPr>
          <c:invertIfNegative val="0"/>
          <c:cat>
            <c:strRef>
              <c:f>GA_Business_PhaseOfFlight!$A$3:$A$9</c:f>
              <c:strCache>
                <c:ptCount val="7"/>
                <c:pt idx="0">
                  <c:v>Landing</c:v>
                </c:pt>
                <c:pt idx="1">
                  <c:v>Enroute</c:v>
                </c:pt>
                <c:pt idx="2">
                  <c:v>Approach</c:v>
                </c:pt>
                <c:pt idx="3">
                  <c:v>Maneuvering</c:v>
                </c:pt>
                <c:pt idx="4">
                  <c:v>Initial Climb</c:v>
                </c:pt>
                <c:pt idx="5">
                  <c:v>Takeoff</c:v>
                </c:pt>
                <c:pt idx="6">
                  <c:v>Unknown</c:v>
                </c:pt>
              </c:strCache>
            </c:strRef>
          </c:cat>
          <c:val>
            <c:numRef>
              <c:f>GA_Business_PhaseOfFlight!$C$3:$C$9</c:f>
              <c:numCache>
                <c:formatCode>General</c:formatCode>
                <c:ptCount val="7"/>
                <c:pt idx="0">
                  <c:v>14</c:v>
                </c:pt>
                <c:pt idx="1">
                  <c:v>5</c:v>
                </c:pt>
                <c:pt idx="2">
                  <c:v>1</c:v>
                </c:pt>
                <c:pt idx="3">
                  <c:v>1</c:v>
                </c:pt>
                <c:pt idx="4">
                  <c:v>2</c:v>
                </c:pt>
                <c:pt idx="5">
                  <c:v>3</c:v>
                </c:pt>
                <c:pt idx="6">
                  <c:v>1</c:v>
                </c:pt>
              </c:numCache>
            </c:numRef>
          </c:val>
          <c:extLst>
            <c:ext xmlns:c16="http://schemas.microsoft.com/office/drawing/2014/chart" uri="{C3380CC4-5D6E-409C-BE32-E72D297353CC}">
              <c16:uniqueId val="{00000004-A159-457D-AECC-56CA0C26ADDC}"/>
            </c:ext>
          </c:extLst>
        </c:ser>
        <c:dLbls>
          <c:showLegendKey val="0"/>
          <c:showVal val="0"/>
          <c:showCatName val="0"/>
          <c:showSerName val="0"/>
          <c:showPercent val="0"/>
          <c:showBubbleSize val="0"/>
        </c:dLbls>
        <c:gapWidth val="36"/>
        <c:overlap val="100"/>
        <c:axId val="1739922495"/>
        <c:axId val="1739922911"/>
      </c:barChart>
      <c:catAx>
        <c:axId val="1739922495"/>
        <c:scaling>
          <c:orientation val="maxMin"/>
        </c:scaling>
        <c:delete val="0"/>
        <c:axPos val="l"/>
        <c:title>
          <c:tx>
            <c:strRef>
              <c:f>GA_Business_PhaseOfFlight!$A$2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1739922911"/>
        <c:crosses val="autoZero"/>
        <c:auto val="1"/>
        <c:lblAlgn val="ctr"/>
        <c:lblOffset val="0"/>
        <c:noMultiLvlLbl val="0"/>
      </c:catAx>
      <c:valAx>
        <c:axId val="1739922911"/>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39922495"/>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GA_Exec_FlightHours!$B$2</c:f>
              <c:strCache>
                <c:ptCount val="1"/>
                <c:pt idx="0">
                  <c:v>General Aviation Executive/Corporate Flying Hours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strRef>
              <c:f>GA_Exec_FlightHours!$A$3:$A$12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GA_Exec_FlightHours!$B$3:$B$12</c:f>
              <c:numCache>
                <c:formatCode>General</c:formatCode>
                <c:ptCount val="10"/>
                <c:pt idx="0">
                  <c:v>26.959040000000002</c:v>
                </c:pt>
                <c:pt idx="2">
                  <c:v>23.645430000000001</c:v>
                </c:pt>
                <c:pt idx="3">
                  <c:v>25.67642</c:v>
                </c:pt>
                <c:pt idx="4">
                  <c:v>28.397369999999999</c:v>
                </c:pt>
                <c:pt idx="5">
                  <c:v>23.841999999999999</c:v>
                </c:pt>
                <c:pt idx="6">
                  <c:v>25.51078</c:v>
                </c:pt>
                <c:pt idx="7">
                  <c:v>26.27392</c:v>
                </c:pt>
                <c:pt idx="8">
                  <c:v>26.264800000000001</c:v>
                </c:pt>
                <c:pt idx="9">
                  <c:v>23.618230000000001</c:v>
                </c:pt>
              </c:numCache>
            </c:numRef>
          </c:val>
          <c:smooth val="0"/>
          <c:extLst>
            <c:ext xmlns:c16="http://schemas.microsoft.com/office/drawing/2014/chart" uri="{C3380CC4-5D6E-409C-BE32-E72D297353CC}">
              <c16:uniqueId val="{00000003-A1AD-44DF-83FF-438CCE1859A6}"/>
            </c:ext>
          </c:extLst>
        </c:ser>
        <c:dLbls>
          <c:showLegendKey val="0"/>
          <c:showVal val="0"/>
          <c:showCatName val="0"/>
          <c:showSerName val="0"/>
          <c:showPercent val="0"/>
          <c:showBubbleSize val="0"/>
        </c:dLbls>
        <c:marker val="1"/>
        <c:smooth val="0"/>
        <c:axId val="1739949535"/>
        <c:axId val="1739964511"/>
      </c:lineChart>
      <c:catAx>
        <c:axId val="1739949535"/>
        <c:scaling>
          <c:orientation val="minMax"/>
        </c:scaling>
        <c:delete val="0"/>
        <c:axPos val="b"/>
        <c:title>
          <c:tx>
            <c:strRef>
              <c:f>GA_Exec_FlightHours!$A$2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39964511"/>
        <c:crosses val="autoZero"/>
        <c:auto val="1"/>
        <c:lblAlgn val="ctr"/>
        <c:lblOffset val="0"/>
        <c:noMultiLvlLbl val="0"/>
      </c:catAx>
      <c:valAx>
        <c:axId val="1739964511"/>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1739949535"/>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GA_Exec_Accidents!$C$2</c:f>
              <c:strCache>
                <c:ptCount val="1"/>
                <c:pt idx="0">
                  <c:v>Total</c:v>
                </c:pt>
              </c:strCache>
            </c:strRef>
          </c:tx>
          <c:spPr>
            <a:solidFill>
              <a:srgbClr val="67A3F3"/>
            </a:solidFill>
            <a:ln w="6350">
              <a:solidFill>
                <a:srgbClr val="1A3B69"/>
              </a:solidFill>
              <a:prstDash val="solid"/>
            </a:ln>
          </c:spPr>
          <c:invertIfNegative val="0"/>
          <c:cat>
            <c:numRef>
              <c:f>GA_Exec_Accidents!$A$3:$A$12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GA_Exec_Accidents!$C$3:$C$12</c:f>
              <c:numCache>
                <c:formatCode>General</c:formatCode>
                <c:ptCount val="10"/>
                <c:pt idx="0">
                  <c:v>7</c:v>
                </c:pt>
                <c:pt idx="1">
                  <c:v>5</c:v>
                </c:pt>
                <c:pt idx="2">
                  <c:v>11</c:v>
                </c:pt>
                <c:pt idx="3">
                  <c:v>7</c:v>
                </c:pt>
                <c:pt idx="4">
                  <c:v>5</c:v>
                </c:pt>
                <c:pt idx="5">
                  <c:v>4</c:v>
                </c:pt>
                <c:pt idx="6">
                  <c:v>1</c:v>
                </c:pt>
                <c:pt idx="7">
                  <c:v>1</c:v>
                </c:pt>
                <c:pt idx="8">
                  <c:v>3</c:v>
                </c:pt>
                <c:pt idx="9">
                  <c:v>4</c:v>
                </c:pt>
              </c:numCache>
            </c:numRef>
          </c:val>
          <c:extLst>
            <c:ext xmlns:c16="http://schemas.microsoft.com/office/drawing/2014/chart" uri="{C3380CC4-5D6E-409C-BE32-E72D297353CC}">
              <c16:uniqueId val="{00000005-560C-4D96-ACAB-8AE8C93E3423}"/>
            </c:ext>
          </c:extLst>
        </c:ser>
        <c:ser>
          <c:idx val="0"/>
          <c:order val="1"/>
          <c:tx>
            <c:strRef>
              <c:f>GA_Exec_Accidents!$B$2</c:f>
              <c:strCache>
                <c:ptCount val="1"/>
                <c:pt idx="0">
                  <c:v>Fatal</c:v>
                </c:pt>
              </c:strCache>
            </c:strRef>
          </c:tx>
          <c:spPr>
            <a:solidFill>
              <a:srgbClr val="FDC367"/>
            </a:solidFill>
            <a:ln w="6350">
              <a:solidFill>
                <a:srgbClr val="1A3B69"/>
              </a:solidFill>
              <a:prstDash val="solid"/>
            </a:ln>
          </c:spPr>
          <c:invertIfNegative val="0"/>
          <c:cat>
            <c:numRef>
              <c:f>GA_Exec_Accidents!$A$3:$A$12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GA_Exec_Accidents!$B$3:$B$12</c:f>
              <c:numCache>
                <c:formatCode>General</c:formatCode>
                <c:ptCount val="10"/>
                <c:pt idx="0">
                  <c:v>1</c:v>
                </c:pt>
                <c:pt idx="1">
                  <c:v>0</c:v>
                </c:pt>
                <c:pt idx="2">
                  <c:v>3</c:v>
                </c:pt>
                <c:pt idx="3">
                  <c:v>4</c:v>
                </c:pt>
                <c:pt idx="4">
                  <c:v>3</c:v>
                </c:pt>
                <c:pt idx="5">
                  <c:v>0</c:v>
                </c:pt>
                <c:pt idx="6">
                  <c:v>0</c:v>
                </c:pt>
                <c:pt idx="7">
                  <c:v>0</c:v>
                </c:pt>
                <c:pt idx="8">
                  <c:v>0</c:v>
                </c:pt>
                <c:pt idx="9">
                  <c:v>2</c:v>
                </c:pt>
              </c:numCache>
            </c:numRef>
          </c:val>
          <c:extLst>
            <c:ext xmlns:c16="http://schemas.microsoft.com/office/drawing/2014/chart" uri="{C3380CC4-5D6E-409C-BE32-E72D297353CC}">
              <c16:uniqueId val="{00000004-560C-4D96-ACAB-8AE8C93E3423}"/>
            </c:ext>
          </c:extLst>
        </c:ser>
        <c:dLbls>
          <c:showLegendKey val="0"/>
          <c:showVal val="0"/>
          <c:showCatName val="0"/>
          <c:showSerName val="0"/>
          <c:showPercent val="0"/>
          <c:showBubbleSize val="0"/>
        </c:dLbls>
        <c:gapWidth val="36"/>
        <c:axId val="1739950367"/>
        <c:axId val="1739970335"/>
      </c:barChart>
      <c:catAx>
        <c:axId val="1739950367"/>
        <c:scaling>
          <c:orientation val="minMax"/>
        </c:scaling>
        <c:delete val="0"/>
        <c:axPos val="b"/>
        <c:title>
          <c:tx>
            <c:strRef>
              <c:f>GA_Exec_Accidents!$A$2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39970335"/>
        <c:crosses val="autoZero"/>
        <c:auto val="1"/>
        <c:lblAlgn val="ctr"/>
        <c:lblOffset val="0"/>
        <c:noMultiLvlLbl val="0"/>
      </c:catAx>
      <c:valAx>
        <c:axId val="1739970335"/>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1739950367"/>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GA_Exec_AccRate!$C$2</c:f>
              <c:strCache>
                <c:ptCount val="1"/>
                <c:pt idx="0">
                  <c:v>Total</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GA_Exec_AccRate!$A$3:$A$12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GA_Exec_AccRate!$C$3:$C$12</c:f>
              <c:numCache>
                <c:formatCode>General</c:formatCode>
                <c:ptCount val="10"/>
                <c:pt idx="0">
                  <c:v>0.25965316272389521</c:v>
                </c:pt>
                <c:pt idx="2">
                  <c:v>0.46520617303216727</c:v>
                </c:pt>
                <c:pt idx="3">
                  <c:v>0.27262367573049512</c:v>
                </c:pt>
                <c:pt idx="4">
                  <c:v>0.17607264334690151</c:v>
                </c:pt>
                <c:pt idx="5">
                  <c:v>0.16777116013757237</c:v>
                </c:pt>
                <c:pt idx="6">
                  <c:v>3.9199115040778838E-2</c:v>
                </c:pt>
                <c:pt idx="7">
                  <c:v>3.8060555866806324E-2</c:v>
                </c:pt>
                <c:pt idx="8">
                  <c:v>0.11422131522037099</c:v>
                </c:pt>
                <c:pt idx="9">
                  <c:v>0.1693607014581533</c:v>
                </c:pt>
              </c:numCache>
            </c:numRef>
          </c:val>
          <c:smooth val="0"/>
          <c:extLst>
            <c:ext xmlns:c16="http://schemas.microsoft.com/office/drawing/2014/chart" uri="{C3380CC4-5D6E-409C-BE32-E72D297353CC}">
              <c16:uniqueId val="{00000005-DDAA-4F82-BF4D-8AE13E3082FA}"/>
            </c:ext>
          </c:extLst>
        </c:ser>
        <c:ser>
          <c:idx val="0"/>
          <c:order val="1"/>
          <c:tx>
            <c:strRef>
              <c:f>GA_Exec_AccRate!$B$2</c:f>
              <c:strCache>
                <c:ptCount val="1"/>
                <c:pt idx="0">
                  <c:v>Fatal</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GA_Exec_AccRate!$A$3:$A$12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GA_Exec_AccRate!$B$3:$B$12</c:f>
              <c:numCache>
                <c:formatCode>General</c:formatCode>
                <c:ptCount val="10"/>
                <c:pt idx="0">
                  <c:v>3.7093308960556459E-2</c:v>
                </c:pt>
                <c:pt idx="2">
                  <c:v>0.12687441082695472</c:v>
                </c:pt>
                <c:pt idx="3">
                  <c:v>0.15578495756028293</c:v>
                </c:pt>
                <c:pt idx="4">
                  <c:v>0.1056435860081409</c:v>
                </c:pt>
                <c:pt idx="5">
                  <c:v>0</c:v>
                </c:pt>
                <c:pt idx="6">
                  <c:v>0</c:v>
                </c:pt>
                <c:pt idx="7">
                  <c:v>0</c:v>
                </c:pt>
                <c:pt idx="8">
                  <c:v>0</c:v>
                </c:pt>
                <c:pt idx="9">
                  <c:v>8.4680350729076648E-2</c:v>
                </c:pt>
              </c:numCache>
            </c:numRef>
          </c:val>
          <c:smooth val="0"/>
          <c:extLst>
            <c:ext xmlns:c16="http://schemas.microsoft.com/office/drawing/2014/chart" uri="{C3380CC4-5D6E-409C-BE32-E72D297353CC}">
              <c16:uniqueId val="{00000004-DDAA-4F82-BF4D-8AE13E3082FA}"/>
            </c:ext>
          </c:extLst>
        </c:ser>
        <c:dLbls>
          <c:showLegendKey val="0"/>
          <c:showVal val="0"/>
          <c:showCatName val="0"/>
          <c:showSerName val="0"/>
          <c:showPercent val="0"/>
          <c:showBubbleSize val="0"/>
        </c:dLbls>
        <c:marker val="1"/>
        <c:smooth val="0"/>
        <c:axId val="1739976159"/>
        <c:axId val="1739975327"/>
      </c:lineChart>
      <c:catAx>
        <c:axId val="1739976159"/>
        <c:scaling>
          <c:orientation val="minMax"/>
        </c:scaling>
        <c:delete val="0"/>
        <c:axPos val="b"/>
        <c:title>
          <c:tx>
            <c:strRef>
              <c:f>GA_Exec_AccRate!$A$2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39975327"/>
        <c:crosses val="autoZero"/>
        <c:auto val="1"/>
        <c:lblAlgn val="ctr"/>
        <c:lblOffset val="0"/>
        <c:noMultiLvlLbl val="0"/>
      </c:catAx>
      <c:valAx>
        <c:axId val="1739975327"/>
        <c:scaling>
          <c:orientation val="minMax"/>
          <c:min val="0"/>
        </c:scaling>
        <c:delete val="0"/>
        <c:axPos val="l"/>
        <c:title>
          <c:tx>
            <c:rich>
              <a:bodyPr/>
              <a:lstStyle/>
              <a:p>
                <a:pPr>
                  <a:defRPr/>
                </a:pPr>
                <a:r>
                  <a:rPr lang="en-US"/>
                  <a:t>Accidents per 100,000 Flight Hours</a:t>
                </a:r>
              </a:p>
            </c:rich>
          </c:tx>
          <c:overlay val="0"/>
        </c:title>
        <c:numFmt formatCode="#,##0.00;;0" sourceLinked="0"/>
        <c:majorTickMark val="out"/>
        <c:minorTickMark val="none"/>
        <c:tickLblPos val="nextTo"/>
        <c:spPr>
          <a:ln w="6350">
            <a:solidFill>
              <a:srgbClr val="1A3B69"/>
            </a:solidFill>
          </a:ln>
        </c:spPr>
        <c:crossAx val="1739976159"/>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GA_Exec_DefiningEvent!$B$2</c:f>
              <c:strCache>
                <c:ptCount val="1"/>
                <c:pt idx="0">
                  <c:v>Fatal</c:v>
                </c:pt>
              </c:strCache>
            </c:strRef>
          </c:tx>
          <c:spPr>
            <a:solidFill>
              <a:srgbClr val="FDC367"/>
            </a:solidFill>
            <a:ln w="6350">
              <a:solidFill>
                <a:srgbClr val="1A3B69"/>
              </a:solidFill>
              <a:prstDash val="solid"/>
            </a:ln>
          </c:spPr>
          <c:invertIfNegative val="0"/>
          <c:cat>
            <c:strRef>
              <c:f>GA_Exec_DefiningEvent!$A$3:$A$6</c:f>
              <c:strCache>
                <c:ptCount val="4"/>
                <c:pt idx="0">
                  <c:v>Unintended Flight Into IMC</c:v>
                </c:pt>
                <c:pt idx="1">
                  <c:v>Abnormal Runway Contact</c:v>
                </c:pt>
                <c:pt idx="2">
                  <c:v>Undershoot/Overshoot</c:v>
                </c:pt>
                <c:pt idx="3">
                  <c:v>Unknown</c:v>
                </c:pt>
              </c:strCache>
            </c:strRef>
          </c:cat>
          <c:val>
            <c:numRef>
              <c:f>GA_Exec_DefiningEvent!$B$3:$B$6</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3-400E-43DD-BACD-4F1CF9883D64}"/>
            </c:ext>
          </c:extLst>
        </c:ser>
        <c:ser>
          <c:idx val="1"/>
          <c:order val="1"/>
          <c:tx>
            <c:strRef>
              <c:f>GA_Exec_DefiningEvent!$C$2</c:f>
              <c:strCache>
                <c:ptCount val="1"/>
                <c:pt idx="0">
                  <c:v>Non-Fatal</c:v>
                </c:pt>
              </c:strCache>
            </c:strRef>
          </c:tx>
          <c:spPr>
            <a:solidFill>
              <a:srgbClr val="67A3F3"/>
            </a:solidFill>
            <a:ln w="6350">
              <a:solidFill>
                <a:srgbClr val="1A3B69"/>
              </a:solidFill>
              <a:prstDash val="solid"/>
            </a:ln>
          </c:spPr>
          <c:invertIfNegative val="0"/>
          <c:cat>
            <c:strRef>
              <c:f>GA_Exec_DefiningEvent!$A$3:$A$6</c:f>
              <c:strCache>
                <c:ptCount val="4"/>
                <c:pt idx="0">
                  <c:v>Unintended Flight Into IMC</c:v>
                </c:pt>
                <c:pt idx="1">
                  <c:v>Abnormal Runway Contact</c:v>
                </c:pt>
                <c:pt idx="2">
                  <c:v>Undershoot/Overshoot</c:v>
                </c:pt>
                <c:pt idx="3">
                  <c:v>Unknown</c:v>
                </c:pt>
              </c:strCache>
            </c:strRef>
          </c:cat>
          <c:val>
            <c:numRef>
              <c:f>GA_Exec_DefiningEvent!$C$3:$C$6</c:f>
              <c:numCache>
                <c:formatCode>General</c:formatCode>
                <c:ptCount val="4"/>
                <c:pt idx="0">
                  <c:v>0</c:v>
                </c:pt>
                <c:pt idx="1">
                  <c:v>1</c:v>
                </c:pt>
                <c:pt idx="2">
                  <c:v>1</c:v>
                </c:pt>
                <c:pt idx="3">
                  <c:v>0</c:v>
                </c:pt>
              </c:numCache>
            </c:numRef>
          </c:val>
          <c:extLst>
            <c:ext xmlns:c16="http://schemas.microsoft.com/office/drawing/2014/chart" uri="{C3380CC4-5D6E-409C-BE32-E72D297353CC}">
              <c16:uniqueId val="{00000004-400E-43DD-BACD-4F1CF9883D64}"/>
            </c:ext>
          </c:extLst>
        </c:ser>
        <c:dLbls>
          <c:showLegendKey val="0"/>
          <c:showVal val="0"/>
          <c:showCatName val="0"/>
          <c:showSerName val="0"/>
          <c:showPercent val="0"/>
          <c:showBubbleSize val="0"/>
        </c:dLbls>
        <c:gapWidth val="36"/>
        <c:overlap val="100"/>
        <c:axId val="1739260847"/>
        <c:axId val="1739257519"/>
      </c:barChart>
      <c:catAx>
        <c:axId val="1739260847"/>
        <c:scaling>
          <c:orientation val="maxMin"/>
        </c:scaling>
        <c:delete val="0"/>
        <c:axPos val="l"/>
        <c:title>
          <c:tx>
            <c:strRef>
              <c:f>GA_Exec_DefiningEvent!$A$2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1739257519"/>
        <c:crosses val="autoZero"/>
        <c:auto val="1"/>
        <c:lblAlgn val="ctr"/>
        <c:lblOffset val="0"/>
        <c:noMultiLvlLbl val="0"/>
      </c:catAx>
      <c:valAx>
        <c:axId val="1739257519"/>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39260847"/>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GA_Exec_PhaseOfFlight!$B$2</c:f>
              <c:strCache>
                <c:ptCount val="1"/>
                <c:pt idx="0">
                  <c:v>Fatal</c:v>
                </c:pt>
              </c:strCache>
            </c:strRef>
          </c:tx>
          <c:spPr>
            <a:solidFill>
              <a:srgbClr val="FDC367"/>
            </a:solidFill>
            <a:ln w="6350">
              <a:solidFill>
                <a:srgbClr val="1A3B69"/>
              </a:solidFill>
              <a:prstDash val="solid"/>
            </a:ln>
          </c:spPr>
          <c:invertIfNegative val="0"/>
          <c:cat>
            <c:strRef>
              <c:f>GA_Exec_PhaseOfFlight!$A$3:$A$5</c:f>
              <c:strCache>
                <c:ptCount val="3"/>
                <c:pt idx="0">
                  <c:v>Landing</c:v>
                </c:pt>
                <c:pt idx="1">
                  <c:v>Maneuvering</c:v>
                </c:pt>
                <c:pt idx="2">
                  <c:v>Takeoff</c:v>
                </c:pt>
              </c:strCache>
            </c:strRef>
          </c:cat>
          <c:val>
            <c:numRef>
              <c:f>GA_Exec_PhaseOfFlight!$B$3:$B$5</c:f>
              <c:numCache>
                <c:formatCode>General</c:formatCode>
                <c:ptCount val="3"/>
                <c:pt idx="0">
                  <c:v>0</c:v>
                </c:pt>
                <c:pt idx="1">
                  <c:v>1</c:v>
                </c:pt>
                <c:pt idx="2">
                  <c:v>1</c:v>
                </c:pt>
              </c:numCache>
            </c:numRef>
          </c:val>
          <c:extLst>
            <c:ext xmlns:c16="http://schemas.microsoft.com/office/drawing/2014/chart" uri="{C3380CC4-5D6E-409C-BE32-E72D297353CC}">
              <c16:uniqueId val="{00000003-F981-4954-A1E2-2AE231929834}"/>
            </c:ext>
          </c:extLst>
        </c:ser>
        <c:ser>
          <c:idx val="1"/>
          <c:order val="1"/>
          <c:tx>
            <c:strRef>
              <c:f>GA_Exec_PhaseOfFlight!$C$2</c:f>
              <c:strCache>
                <c:ptCount val="1"/>
                <c:pt idx="0">
                  <c:v>Non-Fatal</c:v>
                </c:pt>
              </c:strCache>
            </c:strRef>
          </c:tx>
          <c:spPr>
            <a:solidFill>
              <a:srgbClr val="67A3F3"/>
            </a:solidFill>
            <a:ln w="6350">
              <a:solidFill>
                <a:srgbClr val="1A3B69"/>
              </a:solidFill>
              <a:prstDash val="solid"/>
            </a:ln>
          </c:spPr>
          <c:invertIfNegative val="0"/>
          <c:cat>
            <c:strRef>
              <c:f>GA_Exec_PhaseOfFlight!$A$3:$A$5</c:f>
              <c:strCache>
                <c:ptCount val="3"/>
                <c:pt idx="0">
                  <c:v>Landing</c:v>
                </c:pt>
                <c:pt idx="1">
                  <c:v>Maneuvering</c:v>
                </c:pt>
                <c:pt idx="2">
                  <c:v>Takeoff</c:v>
                </c:pt>
              </c:strCache>
            </c:strRef>
          </c:cat>
          <c:val>
            <c:numRef>
              <c:f>GA_Exec_PhaseOfFlight!$C$3:$C$5</c:f>
              <c:numCache>
                <c:formatCode>General</c:formatCode>
                <c:ptCount val="3"/>
                <c:pt idx="0">
                  <c:v>2</c:v>
                </c:pt>
                <c:pt idx="1">
                  <c:v>0</c:v>
                </c:pt>
                <c:pt idx="2">
                  <c:v>0</c:v>
                </c:pt>
              </c:numCache>
            </c:numRef>
          </c:val>
          <c:extLst>
            <c:ext xmlns:c16="http://schemas.microsoft.com/office/drawing/2014/chart" uri="{C3380CC4-5D6E-409C-BE32-E72D297353CC}">
              <c16:uniqueId val="{00000004-F981-4954-A1E2-2AE231929834}"/>
            </c:ext>
          </c:extLst>
        </c:ser>
        <c:dLbls>
          <c:showLegendKey val="0"/>
          <c:showVal val="0"/>
          <c:showCatName val="0"/>
          <c:showSerName val="0"/>
          <c:showPercent val="0"/>
          <c:showBubbleSize val="0"/>
        </c:dLbls>
        <c:gapWidth val="36"/>
        <c:overlap val="100"/>
        <c:axId val="1739255855"/>
        <c:axId val="1739256687"/>
      </c:barChart>
      <c:catAx>
        <c:axId val="1739255855"/>
        <c:scaling>
          <c:orientation val="maxMin"/>
        </c:scaling>
        <c:delete val="0"/>
        <c:axPos val="l"/>
        <c:title>
          <c:tx>
            <c:strRef>
              <c:f>GA_Exec_PhaseOfFlight!$A$2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1739256687"/>
        <c:crosses val="autoZero"/>
        <c:auto val="1"/>
        <c:lblAlgn val="ctr"/>
        <c:lblOffset val="0"/>
        <c:noMultiLvlLbl val="0"/>
      </c:catAx>
      <c:valAx>
        <c:axId val="1739256687"/>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39255855"/>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GA_PublicUse_Accidents!$C$2</c:f>
              <c:strCache>
                <c:ptCount val="1"/>
                <c:pt idx="0">
                  <c:v>Total</c:v>
                </c:pt>
              </c:strCache>
            </c:strRef>
          </c:tx>
          <c:spPr>
            <a:solidFill>
              <a:srgbClr val="67A3F3"/>
            </a:solidFill>
            <a:ln w="6350">
              <a:solidFill>
                <a:srgbClr val="1A3B69"/>
              </a:solidFill>
              <a:prstDash val="solid"/>
            </a:ln>
          </c:spPr>
          <c:invertIfNegative val="0"/>
          <c:cat>
            <c:numRef>
              <c:f>GA_PublicUse_Accidents!$A$3:$A$12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GA_PublicUse_Accidents!$C$3:$C$12</c:f>
              <c:numCache>
                <c:formatCode>General</c:formatCode>
                <c:ptCount val="10"/>
                <c:pt idx="0">
                  <c:v>25</c:v>
                </c:pt>
                <c:pt idx="1">
                  <c:v>16</c:v>
                </c:pt>
                <c:pt idx="2">
                  <c:v>24</c:v>
                </c:pt>
                <c:pt idx="3">
                  <c:v>14</c:v>
                </c:pt>
                <c:pt idx="4">
                  <c:v>26</c:v>
                </c:pt>
                <c:pt idx="5">
                  <c:v>8</c:v>
                </c:pt>
                <c:pt idx="6">
                  <c:v>17</c:v>
                </c:pt>
                <c:pt idx="7">
                  <c:v>11</c:v>
                </c:pt>
                <c:pt idx="8">
                  <c:v>8</c:v>
                </c:pt>
                <c:pt idx="9">
                  <c:v>10</c:v>
                </c:pt>
              </c:numCache>
            </c:numRef>
          </c:val>
          <c:extLst>
            <c:ext xmlns:c16="http://schemas.microsoft.com/office/drawing/2014/chart" uri="{C3380CC4-5D6E-409C-BE32-E72D297353CC}">
              <c16:uniqueId val="{00000000-15D6-4039-86F2-885730789A00}"/>
            </c:ext>
          </c:extLst>
        </c:ser>
        <c:ser>
          <c:idx val="0"/>
          <c:order val="1"/>
          <c:tx>
            <c:strRef>
              <c:f>GA_PublicUse_Accidents!$B$2</c:f>
              <c:strCache>
                <c:ptCount val="1"/>
                <c:pt idx="0">
                  <c:v>Fatal</c:v>
                </c:pt>
              </c:strCache>
            </c:strRef>
          </c:tx>
          <c:spPr>
            <a:solidFill>
              <a:srgbClr val="FDC367"/>
            </a:solidFill>
            <a:ln w="6350">
              <a:solidFill>
                <a:srgbClr val="1A3B69"/>
              </a:solidFill>
              <a:prstDash val="solid"/>
            </a:ln>
          </c:spPr>
          <c:invertIfNegative val="0"/>
          <c:cat>
            <c:numRef>
              <c:f>GA_PublicUse_Accidents!$A$3:$A$12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GA_PublicUse_Accidents!$B$3:$B$12</c:f>
              <c:numCache>
                <c:formatCode>General</c:formatCode>
                <c:ptCount val="10"/>
                <c:pt idx="0">
                  <c:v>5</c:v>
                </c:pt>
                <c:pt idx="1">
                  <c:v>2</c:v>
                </c:pt>
                <c:pt idx="2">
                  <c:v>5</c:v>
                </c:pt>
                <c:pt idx="3">
                  <c:v>3</c:v>
                </c:pt>
                <c:pt idx="4">
                  <c:v>3</c:v>
                </c:pt>
                <c:pt idx="5">
                  <c:v>3</c:v>
                </c:pt>
                <c:pt idx="6">
                  <c:v>4</c:v>
                </c:pt>
                <c:pt idx="7">
                  <c:v>1</c:v>
                </c:pt>
                <c:pt idx="8">
                  <c:v>0</c:v>
                </c:pt>
                <c:pt idx="9">
                  <c:v>1</c:v>
                </c:pt>
              </c:numCache>
            </c:numRef>
          </c:val>
          <c:extLst>
            <c:ext xmlns:c16="http://schemas.microsoft.com/office/drawing/2014/chart" uri="{C3380CC4-5D6E-409C-BE32-E72D297353CC}">
              <c16:uniqueId val="{00000001-15D6-4039-86F2-885730789A00}"/>
            </c:ext>
          </c:extLst>
        </c:ser>
        <c:dLbls>
          <c:showLegendKey val="0"/>
          <c:showVal val="0"/>
          <c:showCatName val="0"/>
          <c:showSerName val="0"/>
          <c:showPercent val="0"/>
          <c:showBubbleSize val="0"/>
        </c:dLbls>
        <c:gapWidth val="36"/>
        <c:axId val="822689488"/>
        <c:axId val="822684496"/>
      </c:barChart>
      <c:catAx>
        <c:axId val="822689488"/>
        <c:scaling>
          <c:orientation val="minMax"/>
        </c:scaling>
        <c:delete val="0"/>
        <c:axPos val="b"/>
        <c:title>
          <c:tx>
            <c:strRef>
              <c:f>GA_PublicUse_Accidents!$A$2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822684496"/>
        <c:crosses val="autoZero"/>
        <c:auto val="1"/>
        <c:lblAlgn val="ctr"/>
        <c:lblOffset val="0"/>
        <c:noMultiLvlLbl val="0"/>
      </c:catAx>
      <c:valAx>
        <c:axId val="82268449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822689488"/>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GA_PublicUse_DefiningEvent!$B$2</c:f>
              <c:strCache>
                <c:ptCount val="1"/>
                <c:pt idx="0">
                  <c:v>Fatal</c:v>
                </c:pt>
              </c:strCache>
            </c:strRef>
          </c:tx>
          <c:spPr>
            <a:solidFill>
              <a:srgbClr val="FDC367"/>
            </a:solidFill>
            <a:ln w="6350">
              <a:solidFill>
                <a:srgbClr val="1A3B69"/>
              </a:solidFill>
              <a:prstDash val="solid"/>
            </a:ln>
          </c:spPr>
          <c:invertIfNegative val="0"/>
          <c:cat>
            <c:strRef>
              <c:f>GA_PublicUse_DefiningEvent!$A$3:$A$8</c:f>
              <c:strCache>
                <c:ptCount val="6"/>
                <c:pt idx="0">
                  <c:v>System/Component Failure - Powerplant</c:v>
                </c:pt>
                <c:pt idx="1">
                  <c:v>Loss of Control on Ground</c:v>
                </c:pt>
                <c:pt idx="2">
                  <c:v>Abnormal Runway Contact</c:v>
                </c:pt>
                <c:pt idx="3">
                  <c:v>Controlled Flight Into Terrain</c:v>
                </c:pt>
                <c:pt idx="4">
                  <c:v>Simulated/training event</c:v>
                </c:pt>
                <c:pt idx="5">
                  <c:v>Other</c:v>
                </c:pt>
              </c:strCache>
            </c:strRef>
          </c:cat>
          <c:val>
            <c:numRef>
              <c:f>GA_PublicUse_DefiningEvent!$B$3:$B$8</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3-E3A9-4DDE-9256-3D0C4CADB02A}"/>
            </c:ext>
          </c:extLst>
        </c:ser>
        <c:ser>
          <c:idx val="1"/>
          <c:order val="1"/>
          <c:tx>
            <c:strRef>
              <c:f>GA_PublicUse_DefiningEvent!$C$2</c:f>
              <c:strCache>
                <c:ptCount val="1"/>
                <c:pt idx="0">
                  <c:v>Non-Fatal</c:v>
                </c:pt>
              </c:strCache>
            </c:strRef>
          </c:tx>
          <c:spPr>
            <a:solidFill>
              <a:srgbClr val="67A3F3"/>
            </a:solidFill>
            <a:ln w="6350">
              <a:solidFill>
                <a:srgbClr val="1A3B69"/>
              </a:solidFill>
              <a:prstDash val="solid"/>
            </a:ln>
          </c:spPr>
          <c:invertIfNegative val="0"/>
          <c:cat>
            <c:strRef>
              <c:f>GA_PublicUse_DefiningEvent!$A$3:$A$8</c:f>
              <c:strCache>
                <c:ptCount val="6"/>
                <c:pt idx="0">
                  <c:v>System/Component Failure - Powerplant</c:v>
                </c:pt>
                <c:pt idx="1">
                  <c:v>Loss of Control on Ground</c:v>
                </c:pt>
                <c:pt idx="2">
                  <c:v>Abnormal Runway Contact</c:v>
                </c:pt>
                <c:pt idx="3">
                  <c:v>Controlled Flight Into Terrain</c:v>
                </c:pt>
                <c:pt idx="4">
                  <c:v>Simulated/training event</c:v>
                </c:pt>
                <c:pt idx="5">
                  <c:v>Other</c:v>
                </c:pt>
              </c:strCache>
            </c:strRef>
          </c:cat>
          <c:val>
            <c:numRef>
              <c:f>GA_PublicUse_DefiningEvent!$C$3:$C$8</c:f>
              <c:numCache>
                <c:formatCode>General</c:formatCode>
                <c:ptCount val="6"/>
                <c:pt idx="0">
                  <c:v>2</c:v>
                </c:pt>
                <c:pt idx="1">
                  <c:v>3</c:v>
                </c:pt>
                <c:pt idx="2">
                  <c:v>1</c:v>
                </c:pt>
                <c:pt idx="3">
                  <c:v>1</c:v>
                </c:pt>
                <c:pt idx="4">
                  <c:v>1</c:v>
                </c:pt>
                <c:pt idx="5">
                  <c:v>1</c:v>
                </c:pt>
              </c:numCache>
            </c:numRef>
          </c:val>
          <c:extLst>
            <c:ext xmlns:c16="http://schemas.microsoft.com/office/drawing/2014/chart" uri="{C3380CC4-5D6E-409C-BE32-E72D297353CC}">
              <c16:uniqueId val="{00000004-E3A9-4DDE-9256-3D0C4CADB02A}"/>
            </c:ext>
          </c:extLst>
        </c:ser>
        <c:dLbls>
          <c:showLegendKey val="0"/>
          <c:showVal val="0"/>
          <c:showCatName val="0"/>
          <c:showSerName val="0"/>
          <c:showPercent val="0"/>
          <c:showBubbleSize val="0"/>
        </c:dLbls>
        <c:gapWidth val="36"/>
        <c:overlap val="100"/>
        <c:axId val="1739274991"/>
        <c:axId val="1739278735"/>
      </c:barChart>
      <c:catAx>
        <c:axId val="1739274991"/>
        <c:scaling>
          <c:orientation val="maxMin"/>
        </c:scaling>
        <c:delete val="0"/>
        <c:axPos val="l"/>
        <c:title>
          <c:tx>
            <c:strRef>
              <c:f>GA_PublicUse_DefiningEvent!$A$2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1739278735"/>
        <c:crosses val="autoZero"/>
        <c:auto val="1"/>
        <c:lblAlgn val="ctr"/>
        <c:lblOffset val="0"/>
        <c:noMultiLvlLbl val="0"/>
      </c:catAx>
      <c:valAx>
        <c:axId val="1739278735"/>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39274991"/>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GA_PublicUse_PhaseOfFlight!$B$2</c:f>
              <c:strCache>
                <c:ptCount val="1"/>
                <c:pt idx="0">
                  <c:v>Fatal</c:v>
                </c:pt>
              </c:strCache>
            </c:strRef>
          </c:tx>
          <c:spPr>
            <a:solidFill>
              <a:srgbClr val="FDC367"/>
            </a:solidFill>
            <a:ln w="6350">
              <a:solidFill>
                <a:srgbClr val="1A3B69"/>
              </a:solidFill>
              <a:prstDash val="solid"/>
            </a:ln>
          </c:spPr>
          <c:invertIfNegative val="0"/>
          <c:cat>
            <c:strRef>
              <c:f>GA_PublicUse_PhaseOfFlight!$A$3:$A$7</c:f>
              <c:strCache>
                <c:ptCount val="5"/>
                <c:pt idx="0">
                  <c:v>Maneuvering</c:v>
                </c:pt>
                <c:pt idx="1">
                  <c:v>Landing</c:v>
                </c:pt>
                <c:pt idx="2">
                  <c:v>Enroute</c:v>
                </c:pt>
                <c:pt idx="3">
                  <c:v>Initial Climb</c:v>
                </c:pt>
                <c:pt idx="4">
                  <c:v>Standing</c:v>
                </c:pt>
              </c:strCache>
            </c:strRef>
          </c:cat>
          <c:val>
            <c:numRef>
              <c:f>GA_PublicUse_PhaseOfFlight!$B$3:$B$7</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3-A3EE-4BD3-BE5F-56AA68CD5516}"/>
            </c:ext>
          </c:extLst>
        </c:ser>
        <c:ser>
          <c:idx val="1"/>
          <c:order val="1"/>
          <c:tx>
            <c:strRef>
              <c:f>GA_PublicUse_PhaseOfFlight!$C$2</c:f>
              <c:strCache>
                <c:ptCount val="1"/>
                <c:pt idx="0">
                  <c:v>Non-Fatal</c:v>
                </c:pt>
              </c:strCache>
            </c:strRef>
          </c:tx>
          <c:spPr>
            <a:solidFill>
              <a:srgbClr val="67A3F3"/>
            </a:solidFill>
            <a:ln w="6350">
              <a:solidFill>
                <a:srgbClr val="1A3B69"/>
              </a:solidFill>
              <a:prstDash val="solid"/>
            </a:ln>
          </c:spPr>
          <c:invertIfNegative val="0"/>
          <c:cat>
            <c:strRef>
              <c:f>GA_PublicUse_PhaseOfFlight!$A$3:$A$7</c:f>
              <c:strCache>
                <c:ptCount val="5"/>
                <c:pt idx="0">
                  <c:v>Maneuvering</c:v>
                </c:pt>
                <c:pt idx="1">
                  <c:v>Landing</c:v>
                </c:pt>
                <c:pt idx="2">
                  <c:v>Enroute</c:v>
                </c:pt>
                <c:pt idx="3">
                  <c:v>Initial Climb</c:v>
                </c:pt>
                <c:pt idx="4">
                  <c:v>Standing</c:v>
                </c:pt>
              </c:strCache>
            </c:strRef>
          </c:cat>
          <c:val>
            <c:numRef>
              <c:f>GA_PublicUse_PhaseOfFlight!$C$3:$C$7</c:f>
              <c:numCache>
                <c:formatCode>General</c:formatCode>
                <c:ptCount val="5"/>
                <c:pt idx="0">
                  <c:v>4</c:v>
                </c:pt>
                <c:pt idx="1">
                  <c:v>2</c:v>
                </c:pt>
                <c:pt idx="2">
                  <c:v>1</c:v>
                </c:pt>
                <c:pt idx="3">
                  <c:v>1</c:v>
                </c:pt>
                <c:pt idx="4">
                  <c:v>1</c:v>
                </c:pt>
              </c:numCache>
            </c:numRef>
          </c:val>
          <c:extLst>
            <c:ext xmlns:c16="http://schemas.microsoft.com/office/drawing/2014/chart" uri="{C3380CC4-5D6E-409C-BE32-E72D297353CC}">
              <c16:uniqueId val="{00000004-A3EE-4BD3-BE5F-56AA68CD5516}"/>
            </c:ext>
          </c:extLst>
        </c:ser>
        <c:dLbls>
          <c:showLegendKey val="0"/>
          <c:showVal val="0"/>
          <c:showCatName val="0"/>
          <c:showSerName val="0"/>
          <c:showPercent val="0"/>
          <c:showBubbleSize val="0"/>
        </c:dLbls>
        <c:gapWidth val="36"/>
        <c:overlap val="100"/>
        <c:axId val="1739275407"/>
        <c:axId val="1739262927"/>
      </c:barChart>
      <c:catAx>
        <c:axId val="1739275407"/>
        <c:scaling>
          <c:orientation val="maxMin"/>
        </c:scaling>
        <c:delete val="0"/>
        <c:axPos val="l"/>
        <c:title>
          <c:tx>
            <c:strRef>
              <c:f>GA_PublicUse_PhaseOfFlight!$A$2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1739262927"/>
        <c:crosses val="autoZero"/>
        <c:auto val="1"/>
        <c:lblAlgn val="ctr"/>
        <c:lblOffset val="0"/>
        <c:noMultiLvlLbl val="0"/>
      </c:catAx>
      <c:valAx>
        <c:axId val="1739262927"/>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39275407"/>
        <c:crosses val="autoZero"/>
        <c:crossBetween val="between"/>
      </c:valAx>
      <c:spPr>
        <a:solidFill>
          <a:srgbClr val="FFFFFF"/>
        </a:solidFill>
        <a:ln w="6350">
          <a:solidFill>
            <a:srgbClr val="A5A5A5"/>
          </a:solidFill>
        </a:ln>
      </c:spPr>
    </c:plotArea>
    <c:legend>
      <c:legendPos val="b"/>
      <c:layout>
        <c:manualLayout>
          <c:xMode val="edge"/>
          <c:yMode val="edge"/>
          <c:x val="0.7253811023622048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GA_DefiningEvent!$B$2</c:f>
              <c:strCache>
                <c:ptCount val="1"/>
                <c:pt idx="0">
                  <c:v>Fatal</c:v>
                </c:pt>
              </c:strCache>
            </c:strRef>
          </c:tx>
          <c:spPr>
            <a:solidFill>
              <a:srgbClr val="FDC367"/>
            </a:solidFill>
            <a:ln w="6350">
              <a:solidFill>
                <a:srgbClr val="1A3B69"/>
              </a:solidFill>
              <a:prstDash val="solid"/>
            </a:ln>
          </c:spPr>
          <c:invertIfNegative val="0"/>
          <c:cat>
            <c:strRef>
              <c:f>GA_DefiningEvent!$A$3:$A$34</c:f>
              <c:strCache>
                <c:ptCount val="32"/>
                <c:pt idx="0">
                  <c:v>Loss of Control on Ground</c:v>
                </c:pt>
                <c:pt idx="1">
                  <c:v>Loss of Control In-Flight</c:v>
                </c:pt>
                <c:pt idx="2">
                  <c:v>System/Component Failure - Powerplant</c:v>
                </c:pt>
                <c:pt idx="3">
                  <c:v>Abnormal Runway Contact</c:v>
                </c:pt>
                <c:pt idx="4">
                  <c:v>Fuel Related</c:v>
                </c:pt>
                <c:pt idx="5">
                  <c:v>Collision on Takeoff or Landing</c:v>
                </c:pt>
                <c:pt idx="6">
                  <c:v>System/Component Failure - Non-power</c:v>
                </c:pt>
                <c:pt idx="7">
                  <c:v>Low Altitude Operation</c:v>
                </c:pt>
                <c:pt idx="8">
                  <c:v>Ground Collision</c:v>
                </c:pt>
                <c:pt idx="9">
                  <c:v>Runway Excursion</c:v>
                </c:pt>
                <c:pt idx="10">
                  <c:v>Unintended Flight Into IMC</c:v>
                </c:pt>
                <c:pt idx="11">
                  <c:v>Controlled Flight Into Terrain</c:v>
                </c:pt>
                <c:pt idx="12">
                  <c:v>Abrupt Maneuver</c:v>
                </c:pt>
                <c:pt idx="13">
                  <c:v>Midair</c:v>
                </c:pt>
                <c:pt idx="14">
                  <c:v>Bird Strike</c:v>
                </c:pt>
                <c:pt idx="15">
                  <c:v>Loss of Lift</c:v>
                </c:pt>
                <c:pt idx="16">
                  <c:v>Fire - Non-Impact</c:v>
                </c:pt>
                <c:pt idx="17">
                  <c:v>Undershoot/Overshoot</c:v>
                </c:pt>
                <c:pt idx="18">
                  <c:v>Ground Handling</c:v>
                </c:pt>
                <c:pt idx="19">
                  <c:v>Turbulence Encounter</c:v>
                </c:pt>
                <c:pt idx="20">
                  <c:v>Wildlife Encounter</c:v>
                </c:pt>
                <c:pt idx="21">
                  <c:v>Windshear/Thunderstorm</c:v>
                </c:pt>
                <c:pt idx="22">
                  <c:v>Medical Event</c:v>
                </c:pt>
                <c:pt idx="23">
                  <c:v>Navigation Error</c:v>
                </c:pt>
                <c:pt idx="24">
                  <c:v>Runway Incursion - Vehicle</c:v>
                </c:pt>
                <c:pt idx="25">
                  <c:v>Aerodrome</c:v>
                </c:pt>
                <c:pt idx="26">
                  <c:v>Icing</c:v>
                </c:pt>
                <c:pt idx="27">
                  <c:v>Cabin Safety Events</c:v>
                </c:pt>
                <c:pt idx="28">
                  <c:v>Glider Towing</c:v>
                </c:pt>
                <c:pt idx="29">
                  <c:v>Simulated/training event</c:v>
                </c:pt>
                <c:pt idx="30">
                  <c:v>Other</c:v>
                </c:pt>
                <c:pt idx="31">
                  <c:v>Unknown</c:v>
                </c:pt>
              </c:strCache>
            </c:strRef>
          </c:cat>
          <c:val>
            <c:numRef>
              <c:f>GA_DefiningEvent!$B$3:$B$34</c:f>
              <c:numCache>
                <c:formatCode>General</c:formatCode>
                <c:ptCount val="32"/>
                <c:pt idx="0">
                  <c:v>0</c:v>
                </c:pt>
                <c:pt idx="1">
                  <c:v>95</c:v>
                </c:pt>
                <c:pt idx="2">
                  <c:v>24</c:v>
                </c:pt>
                <c:pt idx="3">
                  <c:v>3</c:v>
                </c:pt>
                <c:pt idx="4">
                  <c:v>10</c:v>
                </c:pt>
                <c:pt idx="5">
                  <c:v>5</c:v>
                </c:pt>
                <c:pt idx="6">
                  <c:v>3</c:v>
                </c:pt>
                <c:pt idx="7">
                  <c:v>8</c:v>
                </c:pt>
                <c:pt idx="8">
                  <c:v>0</c:v>
                </c:pt>
                <c:pt idx="9">
                  <c:v>0</c:v>
                </c:pt>
                <c:pt idx="10">
                  <c:v>18</c:v>
                </c:pt>
                <c:pt idx="11">
                  <c:v>13</c:v>
                </c:pt>
                <c:pt idx="12">
                  <c:v>6</c:v>
                </c:pt>
                <c:pt idx="13">
                  <c:v>6</c:v>
                </c:pt>
                <c:pt idx="14">
                  <c:v>1</c:v>
                </c:pt>
                <c:pt idx="15">
                  <c:v>1</c:v>
                </c:pt>
                <c:pt idx="16">
                  <c:v>0</c:v>
                </c:pt>
                <c:pt idx="17">
                  <c:v>1</c:v>
                </c:pt>
                <c:pt idx="18">
                  <c:v>1</c:v>
                </c:pt>
                <c:pt idx="19">
                  <c:v>1</c:v>
                </c:pt>
                <c:pt idx="20">
                  <c:v>0</c:v>
                </c:pt>
                <c:pt idx="21">
                  <c:v>3</c:v>
                </c:pt>
                <c:pt idx="22">
                  <c:v>3</c:v>
                </c:pt>
                <c:pt idx="23">
                  <c:v>2</c:v>
                </c:pt>
                <c:pt idx="24">
                  <c:v>2</c:v>
                </c:pt>
                <c:pt idx="25">
                  <c:v>0</c:v>
                </c:pt>
                <c:pt idx="26">
                  <c:v>1</c:v>
                </c:pt>
                <c:pt idx="27">
                  <c:v>0</c:v>
                </c:pt>
                <c:pt idx="28">
                  <c:v>0</c:v>
                </c:pt>
                <c:pt idx="29">
                  <c:v>0</c:v>
                </c:pt>
                <c:pt idx="30">
                  <c:v>7</c:v>
                </c:pt>
                <c:pt idx="31">
                  <c:v>23</c:v>
                </c:pt>
              </c:numCache>
            </c:numRef>
          </c:val>
          <c:extLst>
            <c:ext xmlns:c16="http://schemas.microsoft.com/office/drawing/2014/chart" uri="{C3380CC4-5D6E-409C-BE32-E72D297353CC}">
              <c16:uniqueId val="{00000003-5834-44F6-929B-29328BAE27EB}"/>
            </c:ext>
          </c:extLst>
        </c:ser>
        <c:ser>
          <c:idx val="1"/>
          <c:order val="1"/>
          <c:tx>
            <c:strRef>
              <c:f>GA_DefiningEvent!$C$2</c:f>
              <c:strCache>
                <c:ptCount val="1"/>
                <c:pt idx="0">
                  <c:v>Non-Fatal</c:v>
                </c:pt>
              </c:strCache>
            </c:strRef>
          </c:tx>
          <c:spPr>
            <a:solidFill>
              <a:srgbClr val="67A3F3"/>
            </a:solidFill>
            <a:ln w="6350">
              <a:solidFill>
                <a:srgbClr val="1A3B69"/>
              </a:solidFill>
              <a:prstDash val="solid"/>
            </a:ln>
          </c:spPr>
          <c:invertIfNegative val="0"/>
          <c:cat>
            <c:strRef>
              <c:f>GA_DefiningEvent!$A$3:$A$34</c:f>
              <c:strCache>
                <c:ptCount val="32"/>
                <c:pt idx="0">
                  <c:v>Loss of Control on Ground</c:v>
                </c:pt>
                <c:pt idx="1">
                  <c:v>Loss of Control In-Flight</c:v>
                </c:pt>
                <c:pt idx="2">
                  <c:v>System/Component Failure - Powerplant</c:v>
                </c:pt>
                <c:pt idx="3">
                  <c:v>Abnormal Runway Contact</c:v>
                </c:pt>
                <c:pt idx="4">
                  <c:v>Fuel Related</c:v>
                </c:pt>
                <c:pt idx="5">
                  <c:v>Collision on Takeoff or Landing</c:v>
                </c:pt>
                <c:pt idx="6">
                  <c:v>System/Component Failure - Non-power</c:v>
                </c:pt>
                <c:pt idx="7">
                  <c:v>Low Altitude Operation</c:v>
                </c:pt>
                <c:pt idx="8">
                  <c:v>Ground Collision</c:v>
                </c:pt>
                <c:pt idx="9">
                  <c:v>Runway Excursion</c:v>
                </c:pt>
                <c:pt idx="10">
                  <c:v>Unintended Flight Into IMC</c:v>
                </c:pt>
                <c:pt idx="11">
                  <c:v>Controlled Flight Into Terrain</c:v>
                </c:pt>
                <c:pt idx="12">
                  <c:v>Abrupt Maneuver</c:v>
                </c:pt>
                <c:pt idx="13">
                  <c:v>Midair</c:v>
                </c:pt>
                <c:pt idx="14">
                  <c:v>Bird Strike</c:v>
                </c:pt>
                <c:pt idx="15">
                  <c:v>Loss of Lift</c:v>
                </c:pt>
                <c:pt idx="16">
                  <c:v>Fire - Non-Impact</c:v>
                </c:pt>
                <c:pt idx="17">
                  <c:v>Undershoot/Overshoot</c:v>
                </c:pt>
                <c:pt idx="18">
                  <c:v>Ground Handling</c:v>
                </c:pt>
                <c:pt idx="19">
                  <c:v>Turbulence Encounter</c:v>
                </c:pt>
                <c:pt idx="20">
                  <c:v>Wildlife Encounter</c:v>
                </c:pt>
                <c:pt idx="21">
                  <c:v>Windshear/Thunderstorm</c:v>
                </c:pt>
                <c:pt idx="22">
                  <c:v>Medical Event</c:v>
                </c:pt>
                <c:pt idx="23">
                  <c:v>Navigation Error</c:v>
                </c:pt>
                <c:pt idx="24">
                  <c:v>Runway Incursion - Vehicle</c:v>
                </c:pt>
                <c:pt idx="25">
                  <c:v>Aerodrome</c:v>
                </c:pt>
                <c:pt idx="26">
                  <c:v>Icing</c:v>
                </c:pt>
                <c:pt idx="27">
                  <c:v>Cabin Safety Events</c:v>
                </c:pt>
                <c:pt idx="28">
                  <c:v>Glider Towing</c:v>
                </c:pt>
                <c:pt idx="29">
                  <c:v>Simulated/training event</c:v>
                </c:pt>
                <c:pt idx="30">
                  <c:v>Other</c:v>
                </c:pt>
                <c:pt idx="31">
                  <c:v>Unknown</c:v>
                </c:pt>
              </c:strCache>
            </c:strRef>
          </c:cat>
          <c:val>
            <c:numRef>
              <c:f>GA_DefiningEvent!$C$3:$C$34</c:f>
              <c:numCache>
                <c:formatCode>General</c:formatCode>
                <c:ptCount val="32"/>
                <c:pt idx="0">
                  <c:v>219</c:v>
                </c:pt>
                <c:pt idx="1">
                  <c:v>121</c:v>
                </c:pt>
                <c:pt idx="2">
                  <c:v>192</c:v>
                </c:pt>
                <c:pt idx="3">
                  <c:v>158</c:v>
                </c:pt>
                <c:pt idx="4">
                  <c:v>46</c:v>
                </c:pt>
                <c:pt idx="5">
                  <c:v>39</c:v>
                </c:pt>
                <c:pt idx="6">
                  <c:v>39</c:v>
                </c:pt>
                <c:pt idx="7">
                  <c:v>29</c:v>
                </c:pt>
                <c:pt idx="8">
                  <c:v>25</c:v>
                </c:pt>
                <c:pt idx="9">
                  <c:v>21</c:v>
                </c:pt>
                <c:pt idx="10">
                  <c:v>2</c:v>
                </c:pt>
                <c:pt idx="11">
                  <c:v>5</c:v>
                </c:pt>
                <c:pt idx="12">
                  <c:v>6</c:v>
                </c:pt>
                <c:pt idx="13">
                  <c:v>4</c:v>
                </c:pt>
                <c:pt idx="14">
                  <c:v>9</c:v>
                </c:pt>
                <c:pt idx="15">
                  <c:v>8</c:v>
                </c:pt>
                <c:pt idx="16">
                  <c:v>9</c:v>
                </c:pt>
                <c:pt idx="17">
                  <c:v>7</c:v>
                </c:pt>
                <c:pt idx="18">
                  <c:v>4</c:v>
                </c:pt>
                <c:pt idx="19">
                  <c:v>4</c:v>
                </c:pt>
                <c:pt idx="20">
                  <c:v>5</c:v>
                </c:pt>
                <c:pt idx="21">
                  <c:v>1</c:v>
                </c:pt>
                <c:pt idx="22">
                  <c:v>0</c:v>
                </c:pt>
                <c:pt idx="23">
                  <c:v>1</c:v>
                </c:pt>
                <c:pt idx="24">
                  <c:v>0</c:v>
                </c:pt>
                <c:pt idx="25">
                  <c:v>2</c:v>
                </c:pt>
                <c:pt idx="26">
                  <c:v>0</c:v>
                </c:pt>
                <c:pt idx="27">
                  <c:v>1</c:v>
                </c:pt>
                <c:pt idx="28">
                  <c:v>1</c:v>
                </c:pt>
                <c:pt idx="29">
                  <c:v>1</c:v>
                </c:pt>
                <c:pt idx="30">
                  <c:v>25</c:v>
                </c:pt>
                <c:pt idx="31">
                  <c:v>13</c:v>
                </c:pt>
              </c:numCache>
            </c:numRef>
          </c:val>
          <c:extLst>
            <c:ext xmlns:c16="http://schemas.microsoft.com/office/drawing/2014/chart" uri="{C3380CC4-5D6E-409C-BE32-E72D297353CC}">
              <c16:uniqueId val="{00000004-5834-44F6-929B-29328BAE27EB}"/>
            </c:ext>
          </c:extLst>
        </c:ser>
        <c:dLbls>
          <c:showLegendKey val="0"/>
          <c:showVal val="0"/>
          <c:showCatName val="0"/>
          <c:showSerName val="0"/>
          <c:showPercent val="0"/>
          <c:showBubbleSize val="0"/>
        </c:dLbls>
        <c:gapWidth val="36"/>
        <c:overlap val="100"/>
        <c:axId val="1743184447"/>
        <c:axId val="1743168223"/>
      </c:barChart>
      <c:catAx>
        <c:axId val="1743184447"/>
        <c:scaling>
          <c:orientation val="maxMin"/>
        </c:scaling>
        <c:delete val="0"/>
        <c:axPos val="l"/>
        <c:title>
          <c:tx>
            <c:strRef>
              <c:f>GA_DefiningEvent!$A$2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1743168223"/>
        <c:crosses val="autoZero"/>
        <c:auto val="1"/>
        <c:lblAlgn val="ctr"/>
        <c:lblOffset val="0"/>
        <c:noMultiLvlLbl val="0"/>
      </c:catAx>
      <c:valAx>
        <c:axId val="1743168223"/>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43184447"/>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GA_PhaseOfFlight!$B$2</c:f>
              <c:strCache>
                <c:ptCount val="1"/>
                <c:pt idx="0">
                  <c:v>Fatal</c:v>
                </c:pt>
              </c:strCache>
            </c:strRef>
          </c:tx>
          <c:spPr>
            <a:solidFill>
              <a:srgbClr val="FDC367"/>
            </a:solidFill>
            <a:ln w="6350">
              <a:solidFill>
                <a:srgbClr val="1A3B69"/>
              </a:solidFill>
              <a:prstDash val="solid"/>
            </a:ln>
          </c:spPr>
          <c:invertIfNegative val="0"/>
          <c:cat>
            <c:strRef>
              <c:f>GA_PhaseOfFlight!$A$3:$A$13</c:f>
              <c:strCache>
                <c:ptCount val="11"/>
                <c:pt idx="0">
                  <c:v>Landing</c:v>
                </c:pt>
                <c:pt idx="1">
                  <c:v>Enroute</c:v>
                </c:pt>
                <c:pt idx="2">
                  <c:v>Maneuvering</c:v>
                </c:pt>
                <c:pt idx="3">
                  <c:v>Takeoff</c:v>
                </c:pt>
                <c:pt idx="4">
                  <c:v>Approach</c:v>
                </c:pt>
                <c:pt idx="5">
                  <c:v>Initial Climb</c:v>
                </c:pt>
                <c:pt idx="6">
                  <c:v>Taxi</c:v>
                </c:pt>
                <c:pt idx="7">
                  <c:v>Standing</c:v>
                </c:pt>
                <c:pt idx="8">
                  <c:v>Emergency Descent</c:v>
                </c:pt>
                <c:pt idx="9">
                  <c:v>Uncontrolled Descent</c:v>
                </c:pt>
                <c:pt idx="10">
                  <c:v>Unknown</c:v>
                </c:pt>
              </c:strCache>
            </c:strRef>
          </c:cat>
          <c:val>
            <c:numRef>
              <c:f>GA_PhaseOfFlight!$B$3:$B$13</c:f>
              <c:numCache>
                <c:formatCode>General</c:formatCode>
                <c:ptCount val="11"/>
                <c:pt idx="0">
                  <c:v>9</c:v>
                </c:pt>
                <c:pt idx="1">
                  <c:v>64</c:v>
                </c:pt>
                <c:pt idx="2">
                  <c:v>61</c:v>
                </c:pt>
                <c:pt idx="3">
                  <c:v>21</c:v>
                </c:pt>
                <c:pt idx="4">
                  <c:v>32</c:v>
                </c:pt>
                <c:pt idx="5">
                  <c:v>38</c:v>
                </c:pt>
                <c:pt idx="6">
                  <c:v>0</c:v>
                </c:pt>
                <c:pt idx="7">
                  <c:v>1</c:v>
                </c:pt>
                <c:pt idx="8">
                  <c:v>2</c:v>
                </c:pt>
                <c:pt idx="9">
                  <c:v>2</c:v>
                </c:pt>
                <c:pt idx="10">
                  <c:v>7</c:v>
                </c:pt>
              </c:numCache>
            </c:numRef>
          </c:val>
          <c:extLst>
            <c:ext xmlns:c16="http://schemas.microsoft.com/office/drawing/2014/chart" uri="{C3380CC4-5D6E-409C-BE32-E72D297353CC}">
              <c16:uniqueId val="{00000003-4A8F-47DB-BB4E-072AD2E89C91}"/>
            </c:ext>
          </c:extLst>
        </c:ser>
        <c:ser>
          <c:idx val="1"/>
          <c:order val="1"/>
          <c:tx>
            <c:strRef>
              <c:f>GA_PhaseOfFlight!$C$2</c:f>
              <c:strCache>
                <c:ptCount val="1"/>
                <c:pt idx="0">
                  <c:v>Non-Fatal</c:v>
                </c:pt>
              </c:strCache>
            </c:strRef>
          </c:tx>
          <c:spPr>
            <a:solidFill>
              <a:srgbClr val="67A3F3"/>
            </a:solidFill>
            <a:ln w="6350">
              <a:solidFill>
                <a:srgbClr val="1A3B69"/>
              </a:solidFill>
              <a:prstDash val="solid"/>
            </a:ln>
          </c:spPr>
          <c:invertIfNegative val="0"/>
          <c:cat>
            <c:strRef>
              <c:f>GA_PhaseOfFlight!$A$3:$A$13</c:f>
              <c:strCache>
                <c:ptCount val="11"/>
                <c:pt idx="0">
                  <c:v>Landing</c:v>
                </c:pt>
                <c:pt idx="1">
                  <c:v>Enroute</c:v>
                </c:pt>
                <c:pt idx="2">
                  <c:v>Maneuvering</c:v>
                </c:pt>
                <c:pt idx="3">
                  <c:v>Takeoff</c:v>
                </c:pt>
                <c:pt idx="4">
                  <c:v>Approach</c:v>
                </c:pt>
                <c:pt idx="5">
                  <c:v>Initial Climb</c:v>
                </c:pt>
                <c:pt idx="6">
                  <c:v>Taxi</c:v>
                </c:pt>
                <c:pt idx="7">
                  <c:v>Standing</c:v>
                </c:pt>
                <c:pt idx="8">
                  <c:v>Emergency Descent</c:v>
                </c:pt>
                <c:pt idx="9">
                  <c:v>Uncontrolled Descent</c:v>
                </c:pt>
                <c:pt idx="10">
                  <c:v>Unknown</c:v>
                </c:pt>
              </c:strCache>
            </c:strRef>
          </c:cat>
          <c:val>
            <c:numRef>
              <c:f>GA_PhaseOfFlight!$C$3:$C$13</c:f>
              <c:numCache>
                <c:formatCode>General</c:formatCode>
                <c:ptCount val="11"/>
                <c:pt idx="0">
                  <c:v>403</c:v>
                </c:pt>
                <c:pt idx="1">
                  <c:v>136</c:v>
                </c:pt>
                <c:pt idx="2">
                  <c:v>102</c:v>
                </c:pt>
                <c:pt idx="3">
                  <c:v>141</c:v>
                </c:pt>
                <c:pt idx="4">
                  <c:v>90</c:v>
                </c:pt>
                <c:pt idx="5">
                  <c:v>59</c:v>
                </c:pt>
                <c:pt idx="6">
                  <c:v>44</c:v>
                </c:pt>
                <c:pt idx="7">
                  <c:v>13</c:v>
                </c:pt>
                <c:pt idx="8">
                  <c:v>4</c:v>
                </c:pt>
                <c:pt idx="9">
                  <c:v>1</c:v>
                </c:pt>
                <c:pt idx="10">
                  <c:v>4</c:v>
                </c:pt>
              </c:numCache>
            </c:numRef>
          </c:val>
          <c:extLst>
            <c:ext xmlns:c16="http://schemas.microsoft.com/office/drawing/2014/chart" uri="{C3380CC4-5D6E-409C-BE32-E72D297353CC}">
              <c16:uniqueId val="{00000004-4A8F-47DB-BB4E-072AD2E89C91}"/>
            </c:ext>
          </c:extLst>
        </c:ser>
        <c:dLbls>
          <c:showLegendKey val="0"/>
          <c:showVal val="0"/>
          <c:showCatName val="0"/>
          <c:showSerName val="0"/>
          <c:showPercent val="0"/>
          <c:showBubbleSize val="0"/>
        </c:dLbls>
        <c:gapWidth val="36"/>
        <c:overlap val="100"/>
        <c:axId val="1743191103"/>
        <c:axId val="1743175711"/>
      </c:barChart>
      <c:catAx>
        <c:axId val="1743191103"/>
        <c:scaling>
          <c:orientation val="maxMin"/>
        </c:scaling>
        <c:delete val="0"/>
        <c:axPos val="l"/>
        <c:title>
          <c:tx>
            <c:strRef>
              <c:f>GA_PhaseOfFlight!$A$2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1743175711"/>
        <c:crosses val="autoZero"/>
        <c:auto val="1"/>
        <c:lblAlgn val="ctr"/>
        <c:lblOffset val="0"/>
        <c:noMultiLvlLbl val="0"/>
      </c:catAx>
      <c:valAx>
        <c:axId val="1743175711"/>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43191103"/>
        <c:crosses val="autoZero"/>
        <c:crossBetween val="between"/>
      </c:valAx>
      <c:spPr>
        <a:solidFill>
          <a:srgbClr val="FFFFFF"/>
        </a:solidFill>
        <a:ln w="6350">
          <a:solidFill>
            <a:srgbClr val="A5A5A5"/>
          </a:solidFill>
        </a:ln>
      </c:spPr>
    </c:plotArea>
    <c:legend>
      <c:legendPos val="b"/>
      <c:layout>
        <c:manualLayout>
          <c:xMode val="edge"/>
          <c:yMode val="edge"/>
          <c:x val="0.712406167979002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GA_FlightHours!$B$2</c:f>
              <c:strCache>
                <c:ptCount val="1"/>
                <c:pt idx="0">
                  <c:v>General Aviation Flight Hours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strRef>
              <c:f>GA_FlightHours!$A$3:$A$12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GA_FlightHours!$B$3:$B$12</c:f>
              <c:numCache>
                <c:formatCode>General</c:formatCode>
                <c:ptCount val="10"/>
                <c:pt idx="0">
                  <c:v>216.88408999999999</c:v>
                </c:pt>
                <c:pt idx="2">
                  <c:v>208.80992999999995</c:v>
                </c:pt>
                <c:pt idx="3">
                  <c:v>194.92356000000001</c:v>
                </c:pt>
                <c:pt idx="4">
                  <c:v>196.17389</c:v>
                </c:pt>
                <c:pt idx="5">
                  <c:v>205.76071999999999</c:v>
                </c:pt>
                <c:pt idx="6">
                  <c:v>213.33747</c:v>
                </c:pt>
                <c:pt idx="7">
                  <c:v>217.02718999999999</c:v>
                </c:pt>
                <c:pt idx="8">
                  <c:v>216.63367</c:v>
                </c:pt>
                <c:pt idx="9">
                  <c:v>218.00689</c:v>
                </c:pt>
              </c:numCache>
            </c:numRef>
          </c:val>
          <c:smooth val="0"/>
          <c:extLst>
            <c:ext xmlns:c16="http://schemas.microsoft.com/office/drawing/2014/chart" uri="{C3380CC4-5D6E-409C-BE32-E72D297353CC}">
              <c16:uniqueId val="{00000003-6C87-4816-9CDF-56E33BB38140}"/>
            </c:ext>
          </c:extLst>
        </c:ser>
        <c:dLbls>
          <c:showLegendKey val="0"/>
          <c:showVal val="0"/>
          <c:showCatName val="0"/>
          <c:showSerName val="0"/>
          <c:showPercent val="0"/>
          <c:showBubbleSize val="0"/>
        </c:dLbls>
        <c:marker val="1"/>
        <c:smooth val="0"/>
        <c:axId val="1743189023"/>
        <c:axId val="1743171967"/>
      </c:lineChart>
      <c:catAx>
        <c:axId val="1743189023"/>
        <c:scaling>
          <c:orientation val="minMax"/>
        </c:scaling>
        <c:delete val="0"/>
        <c:axPos val="b"/>
        <c:title>
          <c:tx>
            <c:strRef>
              <c:f>GA_FlightHours!$A$2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171967"/>
        <c:crosses val="autoZero"/>
        <c:auto val="1"/>
        <c:lblAlgn val="ctr"/>
        <c:lblOffset val="0"/>
        <c:noMultiLvlLbl val="0"/>
      </c:catAx>
      <c:valAx>
        <c:axId val="1743171967"/>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1743189023"/>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GA_Personal_Accidents!$C$2</c:f>
              <c:strCache>
                <c:ptCount val="1"/>
                <c:pt idx="0">
                  <c:v>Total</c:v>
                </c:pt>
              </c:strCache>
            </c:strRef>
          </c:tx>
          <c:spPr>
            <a:solidFill>
              <a:srgbClr val="67A3F3"/>
            </a:solidFill>
            <a:ln w="6350">
              <a:solidFill>
                <a:srgbClr val="1A3B69"/>
              </a:solidFill>
              <a:prstDash val="solid"/>
            </a:ln>
          </c:spPr>
          <c:invertIfNegative val="0"/>
          <c:cat>
            <c:numRef>
              <c:f>GA_Personal_Accidents!$A$3:$A$12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GA_Personal_Accidents!$C$3:$C$12</c:f>
              <c:numCache>
                <c:formatCode>General</c:formatCode>
                <c:ptCount val="10"/>
                <c:pt idx="0">
                  <c:v>999</c:v>
                </c:pt>
                <c:pt idx="1">
                  <c:v>987</c:v>
                </c:pt>
                <c:pt idx="2">
                  <c:v>982</c:v>
                </c:pt>
                <c:pt idx="3">
                  <c:v>809</c:v>
                </c:pt>
                <c:pt idx="4">
                  <c:v>814</c:v>
                </c:pt>
                <c:pt idx="5">
                  <c:v>830</c:v>
                </c:pt>
                <c:pt idx="6">
                  <c:v>856</c:v>
                </c:pt>
                <c:pt idx="7">
                  <c:v>826</c:v>
                </c:pt>
                <c:pt idx="8">
                  <c:v>846</c:v>
                </c:pt>
                <c:pt idx="9">
                  <c:v>805</c:v>
                </c:pt>
              </c:numCache>
            </c:numRef>
          </c:val>
          <c:extLst>
            <c:ext xmlns:c16="http://schemas.microsoft.com/office/drawing/2014/chart" uri="{C3380CC4-5D6E-409C-BE32-E72D297353CC}">
              <c16:uniqueId val="{00000005-3BE4-4B61-ACAE-DB1B52539A46}"/>
            </c:ext>
          </c:extLst>
        </c:ser>
        <c:ser>
          <c:idx val="0"/>
          <c:order val="1"/>
          <c:tx>
            <c:strRef>
              <c:f>GA_Personal_Accidents!$B$2</c:f>
              <c:strCache>
                <c:ptCount val="1"/>
                <c:pt idx="0">
                  <c:v>Fatal</c:v>
                </c:pt>
              </c:strCache>
            </c:strRef>
          </c:tx>
          <c:spPr>
            <a:solidFill>
              <a:srgbClr val="FDC367"/>
            </a:solidFill>
            <a:ln w="6350">
              <a:solidFill>
                <a:srgbClr val="1A3B69"/>
              </a:solidFill>
              <a:prstDash val="solid"/>
            </a:ln>
          </c:spPr>
          <c:invertIfNegative val="0"/>
          <c:cat>
            <c:numRef>
              <c:f>GA_Personal_Accidents!$A$3:$A$12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GA_Personal_Accidents!$B$3:$B$12</c:f>
              <c:numCache>
                <c:formatCode>General</c:formatCode>
                <c:ptCount val="10"/>
                <c:pt idx="0">
                  <c:v>194</c:v>
                </c:pt>
                <c:pt idx="1">
                  <c:v>202</c:v>
                </c:pt>
                <c:pt idx="2">
                  <c:v>202</c:v>
                </c:pt>
                <c:pt idx="3">
                  <c:v>153</c:v>
                </c:pt>
                <c:pt idx="4">
                  <c:v>181</c:v>
                </c:pt>
                <c:pt idx="5">
                  <c:v>172</c:v>
                </c:pt>
                <c:pt idx="6">
                  <c:v>137</c:v>
                </c:pt>
                <c:pt idx="7">
                  <c:v>154</c:v>
                </c:pt>
                <c:pt idx="8">
                  <c:v>156</c:v>
                </c:pt>
                <c:pt idx="9">
                  <c:v>164</c:v>
                </c:pt>
              </c:numCache>
            </c:numRef>
          </c:val>
          <c:extLst>
            <c:ext xmlns:c16="http://schemas.microsoft.com/office/drawing/2014/chart" uri="{C3380CC4-5D6E-409C-BE32-E72D297353CC}">
              <c16:uniqueId val="{00000004-3BE4-4B61-ACAE-DB1B52539A46}"/>
            </c:ext>
          </c:extLst>
        </c:ser>
        <c:dLbls>
          <c:showLegendKey val="0"/>
          <c:showVal val="0"/>
          <c:showCatName val="0"/>
          <c:showSerName val="0"/>
          <c:showPercent val="0"/>
          <c:showBubbleSize val="0"/>
        </c:dLbls>
        <c:gapWidth val="36"/>
        <c:axId val="1743207743"/>
        <c:axId val="1743208159"/>
      </c:barChart>
      <c:catAx>
        <c:axId val="1743207743"/>
        <c:scaling>
          <c:orientation val="minMax"/>
        </c:scaling>
        <c:delete val="0"/>
        <c:axPos val="b"/>
        <c:title>
          <c:tx>
            <c:strRef>
              <c:f>GA_Personal_Accidents!$A$2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208159"/>
        <c:crosses val="autoZero"/>
        <c:auto val="1"/>
        <c:lblAlgn val="ctr"/>
        <c:lblOffset val="0"/>
        <c:noMultiLvlLbl val="0"/>
      </c:catAx>
      <c:valAx>
        <c:axId val="1743208159"/>
        <c:scaling>
          <c:orientation val="minMax"/>
          <c:min val="0"/>
        </c:scaling>
        <c:delete val="0"/>
        <c:axPos val="l"/>
        <c:title>
          <c:tx>
            <c:rich>
              <a:bodyPr/>
              <a:lstStyle/>
              <a:p>
                <a:pPr>
                  <a:defRPr/>
                </a:pPr>
                <a:r>
                  <a:rPr lang="en-US"/>
                  <a:t>Accidents</a:t>
                </a:r>
              </a:p>
            </c:rich>
          </c:tx>
          <c:overlay val="0"/>
        </c:title>
        <c:numFmt formatCode="#,##0" sourceLinked="0"/>
        <c:majorTickMark val="out"/>
        <c:minorTickMark val="none"/>
        <c:tickLblPos val="nextTo"/>
        <c:spPr>
          <a:ln w="6350">
            <a:solidFill>
              <a:srgbClr val="1A3B69"/>
            </a:solidFill>
          </a:ln>
        </c:spPr>
        <c:crossAx val="1743207743"/>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GA_Personal_AccRate!$C$2</c:f>
              <c:strCache>
                <c:ptCount val="1"/>
                <c:pt idx="0">
                  <c:v>Total</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GA_Personal_AccRate!$A$3:$A$12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GA_Personal_AccRate!$C$3:$C$12</c:f>
              <c:numCache>
                <c:formatCode>General</c:formatCode>
                <c:ptCount val="10"/>
                <c:pt idx="0">
                  <c:v>12.44038513733698</c:v>
                </c:pt>
                <c:pt idx="2">
                  <c:v>11.98579298666168</c:v>
                </c:pt>
                <c:pt idx="3">
                  <c:v>11.2108325016778</c:v>
                </c:pt>
                <c:pt idx="4">
                  <c:v>11.866357985862123</c:v>
                </c:pt>
                <c:pt idx="5">
                  <c:v>11.078839658266199</c:v>
                </c:pt>
                <c:pt idx="6">
                  <c:v>10.853424878286594</c:v>
                </c:pt>
                <c:pt idx="7">
                  <c:v>10.604799686118472</c:v>
                </c:pt>
                <c:pt idx="8">
                  <c:v>10.930674399298573</c:v>
                </c:pt>
                <c:pt idx="9">
                  <c:v>10.230053910982734</c:v>
                </c:pt>
              </c:numCache>
            </c:numRef>
          </c:val>
          <c:smooth val="0"/>
          <c:extLst>
            <c:ext xmlns:c16="http://schemas.microsoft.com/office/drawing/2014/chart" uri="{C3380CC4-5D6E-409C-BE32-E72D297353CC}">
              <c16:uniqueId val="{00000005-032F-4467-B708-8E65CB9BD078}"/>
            </c:ext>
          </c:extLst>
        </c:ser>
        <c:ser>
          <c:idx val="0"/>
          <c:order val="1"/>
          <c:tx>
            <c:strRef>
              <c:f>GA_Personal_AccRate!$B$2</c:f>
              <c:strCache>
                <c:ptCount val="1"/>
                <c:pt idx="0">
                  <c:v>Fatal</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GA_Personal_AccRate!$A$3:$A$12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GA_Personal_AccRate!$B$3:$B$12</c:f>
              <c:numCache>
                <c:formatCode>General</c:formatCode>
                <c:ptCount val="10"/>
                <c:pt idx="0">
                  <c:v>2.398146532498695</c:v>
                </c:pt>
                <c:pt idx="2">
                  <c:v>2.4558046792242587</c:v>
                </c:pt>
                <c:pt idx="3">
                  <c:v>2.086383219915223</c:v>
                </c:pt>
                <c:pt idx="4">
                  <c:v>2.6385882007875239</c:v>
                </c:pt>
                <c:pt idx="5">
                  <c:v>2.2587925516853415</c:v>
                </c:pt>
                <c:pt idx="6">
                  <c:v>1.7157053379024474</c:v>
                </c:pt>
                <c:pt idx="7">
                  <c:v>1.9771660431746305</c:v>
                </c:pt>
                <c:pt idx="8">
                  <c:v>2.0074105828095719</c:v>
                </c:pt>
                <c:pt idx="9">
                  <c:v>2.076586285791016</c:v>
                </c:pt>
              </c:numCache>
            </c:numRef>
          </c:val>
          <c:smooth val="0"/>
          <c:extLst>
            <c:ext xmlns:c16="http://schemas.microsoft.com/office/drawing/2014/chart" uri="{C3380CC4-5D6E-409C-BE32-E72D297353CC}">
              <c16:uniqueId val="{00000004-032F-4467-B708-8E65CB9BD078}"/>
            </c:ext>
          </c:extLst>
        </c:ser>
        <c:dLbls>
          <c:showLegendKey val="0"/>
          <c:showVal val="0"/>
          <c:showCatName val="0"/>
          <c:showSerName val="0"/>
          <c:showPercent val="0"/>
          <c:showBubbleSize val="0"/>
        </c:dLbls>
        <c:marker val="1"/>
        <c:smooth val="0"/>
        <c:axId val="1743242687"/>
        <c:axId val="1743233535"/>
      </c:lineChart>
      <c:catAx>
        <c:axId val="1743242687"/>
        <c:scaling>
          <c:orientation val="minMax"/>
        </c:scaling>
        <c:delete val="0"/>
        <c:axPos val="b"/>
        <c:title>
          <c:tx>
            <c:strRef>
              <c:f>GA_Personal_AccRate!$A$2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43233535"/>
        <c:crosses val="autoZero"/>
        <c:auto val="1"/>
        <c:lblAlgn val="ctr"/>
        <c:lblOffset val="0"/>
        <c:noMultiLvlLbl val="0"/>
      </c:catAx>
      <c:valAx>
        <c:axId val="1743233535"/>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spPr>
          <a:ln w="6350">
            <a:solidFill>
              <a:srgbClr val="1A3B69"/>
            </a:solidFill>
          </a:ln>
        </c:spPr>
        <c:crossAx val="1743242687"/>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GA_Personal_DefiningEvent!$B$2</c:f>
              <c:strCache>
                <c:ptCount val="1"/>
                <c:pt idx="0">
                  <c:v>Fatal</c:v>
                </c:pt>
              </c:strCache>
            </c:strRef>
          </c:tx>
          <c:spPr>
            <a:solidFill>
              <a:srgbClr val="FDC367"/>
            </a:solidFill>
            <a:ln w="6350">
              <a:solidFill>
                <a:srgbClr val="1A3B69"/>
              </a:solidFill>
              <a:prstDash val="solid"/>
            </a:ln>
          </c:spPr>
          <c:invertIfNegative val="0"/>
          <c:cat>
            <c:strRef>
              <c:f>GA_Personal_DefiningEvent!$A$3:$A$31</c:f>
              <c:strCache>
                <c:ptCount val="29"/>
                <c:pt idx="0">
                  <c:v>System/Component Failure - Powerplant</c:v>
                </c:pt>
                <c:pt idx="1">
                  <c:v>Loss of Control on Ground</c:v>
                </c:pt>
                <c:pt idx="2">
                  <c:v>Loss of Control In-Flight</c:v>
                </c:pt>
                <c:pt idx="3">
                  <c:v>Abnormal Runway Contact</c:v>
                </c:pt>
                <c:pt idx="4">
                  <c:v>Fuel Related</c:v>
                </c:pt>
                <c:pt idx="5">
                  <c:v>Collision on Takeoff or Landing</c:v>
                </c:pt>
                <c:pt idx="6">
                  <c:v>System/Component Failure - Non-power</c:v>
                </c:pt>
                <c:pt idx="7">
                  <c:v>Ground Collision</c:v>
                </c:pt>
                <c:pt idx="8">
                  <c:v>Unintended Flight Into IMC</c:v>
                </c:pt>
                <c:pt idx="9">
                  <c:v>Controlled Flight Into Terrain</c:v>
                </c:pt>
                <c:pt idx="10">
                  <c:v>Runway Excursion</c:v>
                </c:pt>
                <c:pt idx="11">
                  <c:v>Low Altitude Operation</c:v>
                </c:pt>
                <c:pt idx="12">
                  <c:v>Bird Strike</c:v>
                </c:pt>
                <c:pt idx="13">
                  <c:v>Loss of Lift</c:v>
                </c:pt>
                <c:pt idx="14">
                  <c:v>Fire - Non-Impact</c:v>
                </c:pt>
                <c:pt idx="15">
                  <c:v>Abrupt Maneuver</c:v>
                </c:pt>
                <c:pt idx="16">
                  <c:v>Undershoot/Overshoot</c:v>
                </c:pt>
                <c:pt idx="17">
                  <c:v>Wildlife Encounter</c:v>
                </c:pt>
                <c:pt idx="18">
                  <c:v>Windshear/Thunderstorm</c:v>
                </c:pt>
                <c:pt idx="19">
                  <c:v>Midair</c:v>
                </c:pt>
                <c:pt idx="20">
                  <c:v>Navigation Error</c:v>
                </c:pt>
                <c:pt idx="21">
                  <c:v>Ground Handling</c:v>
                </c:pt>
                <c:pt idx="22">
                  <c:v>Turbulence Encounter</c:v>
                </c:pt>
                <c:pt idx="23">
                  <c:v>Medical Event</c:v>
                </c:pt>
                <c:pt idx="24">
                  <c:v>Icing</c:v>
                </c:pt>
                <c:pt idx="25">
                  <c:v>Runway Incursion - Vehicle</c:v>
                </c:pt>
                <c:pt idx="26">
                  <c:v>Cabin Safety Events</c:v>
                </c:pt>
                <c:pt idx="27">
                  <c:v>Other</c:v>
                </c:pt>
                <c:pt idx="28">
                  <c:v>Unknown</c:v>
                </c:pt>
              </c:strCache>
            </c:strRef>
          </c:cat>
          <c:val>
            <c:numRef>
              <c:f>GA_Personal_DefiningEvent!$B$3:$B$31</c:f>
              <c:numCache>
                <c:formatCode>General</c:formatCode>
                <c:ptCount val="29"/>
                <c:pt idx="0">
                  <c:v>17</c:v>
                </c:pt>
                <c:pt idx="1">
                  <c:v>0</c:v>
                </c:pt>
                <c:pt idx="2">
                  <c:v>63</c:v>
                </c:pt>
                <c:pt idx="3">
                  <c:v>3</c:v>
                </c:pt>
                <c:pt idx="4">
                  <c:v>9</c:v>
                </c:pt>
                <c:pt idx="5">
                  <c:v>5</c:v>
                </c:pt>
                <c:pt idx="6">
                  <c:v>1</c:v>
                </c:pt>
                <c:pt idx="7">
                  <c:v>0</c:v>
                </c:pt>
                <c:pt idx="8">
                  <c:v>14</c:v>
                </c:pt>
                <c:pt idx="9">
                  <c:v>10</c:v>
                </c:pt>
                <c:pt idx="10">
                  <c:v>0</c:v>
                </c:pt>
                <c:pt idx="11">
                  <c:v>4</c:v>
                </c:pt>
                <c:pt idx="12">
                  <c:v>1</c:v>
                </c:pt>
                <c:pt idx="13">
                  <c:v>1</c:v>
                </c:pt>
                <c:pt idx="14">
                  <c:v>0</c:v>
                </c:pt>
                <c:pt idx="15">
                  <c:v>4</c:v>
                </c:pt>
                <c:pt idx="16">
                  <c:v>0</c:v>
                </c:pt>
                <c:pt idx="17">
                  <c:v>0</c:v>
                </c:pt>
                <c:pt idx="18">
                  <c:v>3</c:v>
                </c:pt>
                <c:pt idx="19">
                  <c:v>2</c:v>
                </c:pt>
                <c:pt idx="20">
                  <c:v>2</c:v>
                </c:pt>
                <c:pt idx="21">
                  <c:v>1</c:v>
                </c:pt>
                <c:pt idx="22">
                  <c:v>1</c:v>
                </c:pt>
                <c:pt idx="23">
                  <c:v>2</c:v>
                </c:pt>
                <c:pt idx="24">
                  <c:v>1</c:v>
                </c:pt>
                <c:pt idx="25">
                  <c:v>1</c:v>
                </c:pt>
                <c:pt idx="26">
                  <c:v>0</c:v>
                </c:pt>
                <c:pt idx="27">
                  <c:v>4</c:v>
                </c:pt>
                <c:pt idx="28">
                  <c:v>16</c:v>
                </c:pt>
              </c:numCache>
            </c:numRef>
          </c:val>
          <c:extLst>
            <c:ext xmlns:c16="http://schemas.microsoft.com/office/drawing/2014/chart" uri="{C3380CC4-5D6E-409C-BE32-E72D297353CC}">
              <c16:uniqueId val="{00000003-A20F-4570-A012-D782C18160C0}"/>
            </c:ext>
          </c:extLst>
        </c:ser>
        <c:ser>
          <c:idx val="1"/>
          <c:order val="1"/>
          <c:tx>
            <c:strRef>
              <c:f>GA_Personal_DefiningEvent!$C$2</c:f>
              <c:strCache>
                <c:ptCount val="1"/>
                <c:pt idx="0">
                  <c:v>Non-Fatal</c:v>
                </c:pt>
              </c:strCache>
            </c:strRef>
          </c:tx>
          <c:spPr>
            <a:solidFill>
              <a:srgbClr val="67A3F3"/>
            </a:solidFill>
            <a:ln w="6350">
              <a:solidFill>
                <a:srgbClr val="1A3B69"/>
              </a:solidFill>
              <a:prstDash val="solid"/>
            </a:ln>
          </c:spPr>
          <c:invertIfNegative val="0"/>
          <c:cat>
            <c:strRef>
              <c:f>GA_Personal_DefiningEvent!$A$3:$A$31</c:f>
              <c:strCache>
                <c:ptCount val="29"/>
                <c:pt idx="0">
                  <c:v>System/Component Failure - Powerplant</c:v>
                </c:pt>
                <c:pt idx="1">
                  <c:v>Loss of Control on Ground</c:v>
                </c:pt>
                <c:pt idx="2">
                  <c:v>Loss of Control In-Flight</c:v>
                </c:pt>
                <c:pt idx="3">
                  <c:v>Abnormal Runway Contact</c:v>
                </c:pt>
                <c:pt idx="4">
                  <c:v>Fuel Related</c:v>
                </c:pt>
                <c:pt idx="5">
                  <c:v>Collision on Takeoff or Landing</c:v>
                </c:pt>
                <c:pt idx="6">
                  <c:v>System/Component Failure - Non-power</c:v>
                </c:pt>
                <c:pt idx="7">
                  <c:v>Ground Collision</c:v>
                </c:pt>
                <c:pt idx="8">
                  <c:v>Unintended Flight Into IMC</c:v>
                </c:pt>
                <c:pt idx="9">
                  <c:v>Controlled Flight Into Terrain</c:v>
                </c:pt>
                <c:pt idx="10">
                  <c:v>Runway Excursion</c:v>
                </c:pt>
                <c:pt idx="11">
                  <c:v>Low Altitude Operation</c:v>
                </c:pt>
                <c:pt idx="12">
                  <c:v>Bird Strike</c:v>
                </c:pt>
                <c:pt idx="13">
                  <c:v>Loss of Lift</c:v>
                </c:pt>
                <c:pt idx="14">
                  <c:v>Fire - Non-Impact</c:v>
                </c:pt>
                <c:pt idx="15">
                  <c:v>Abrupt Maneuver</c:v>
                </c:pt>
                <c:pt idx="16">
                  <c:v>Undershoot/Overshoot</c:v>
                </c:pt>
                <c:pt idx="17">
                  <c:v>Wildlife Encounter</c:v>
                </c:pt>
                <c:pt idx="18">
                  <c:v>Windshear/Thunderstorm</c:v>
                </c:pt>
                <c:pt idx="19">
                  <c:v>Midair</c:v>
                </c:pt>
                <c:pt idx="20">
                  <c:v>Navigation Error</c:v>
                </c:pt>
                <c:pt idx="21">
                  <c:v>Ground Handling</c:v>
                </c:pt>
                <c:pt idx="22">
                  <c:v>Turbulence Encounter</c:v>
                </c:pt>
                <c:pt idx="23">
                  <c:v>Medical Event</c:v>
                </c:pt>
                <c:pt idx="24">
                  <c:v>Icing</c:v>
                </c:pt>
                <c:pt idx="25">
                  <c:v>Runway Incursion - Vehicle</c:v>
                </c:pt>
                <c:pt idx="26">
                  <c:v>Cabin Safety Events</c:v>
                </c:pt>
                <c:pt idx="27">
                  <c:v>Other</c:v>
                </c:pt>
                <c:pt idx="28">
                  <c:v>Unknown</c:v>
                </c:pt>
              </c:strCache>
            </c:strRef>
          </c:cat>
          <c:val>
            <c:numRef>
              <c:f>GA_Personal_DefiningEvent!$C$3:$C$31</c:f>
              <c:numCache>
                <c:formatCode>General</c:formatCode>
                <c:ptCount val="29"/>
                <c:pt idx="0">
                  <c:v>149</c:v>
                </c:pt>
                <c:pt idx="1">
                  <c:v>148</c:v>
                </c:pt>
                <c:pt idx="2">
                  <c:v>68</c:v>
                </c:pt>
                <c:pt idx="3">
                  <c:v>100</c:v>
                </c:pt>
                <c:pt idx="4">
                  <c:v>35</c:v>
                </c:pt>
                <c:pt idx="5">
                  <c:v>27</c:v>
                </c:pt>
                <c:pt idx="6">
                  <c:v>25</c:v>
                </c:pt>
                <c:pt idx="7">
                  <c:v>15</c:v>
                </c:pt>
                <c:pt idx="8">
                  <c:v>0</c:v>
                </c:pt>
                <c:pt idx="9">
                  <c:v>3</c:v>
                </c:pt>
                <c:pt idx="10">
                  <c:v>11</c:v>
                </c:pt>
                <c:pt idx="11">
                  <c:v>6</c:v>
                </c:pt>
                <c:pt idx="12">
                  <c:v>6</c:v>
                </c:pt>
                <c:pt idx="13">
                  <c:v>6</c:v>
                </c:pt>
                <c:pt idx="14">
                  <c:v>7</c:v>
                </c:pt>
                <c:pt idx="15">
                  <c:v>1</c:v>
                </c:pt>
                <c:pt idx="16">
                  <c:v>5</c:v>
                </c:pt>
                <c:pt idx="17">
                  <c:v>4</c:v>
                </c:pt>
                <c:pt idx="18">
                  <c:v>0</c:v>
                </c:pt>
                <c:pt idx="19">
                  <c:v>1</c:v>
                </c:pt>
                <c:pt idx="20">
                  <c:v>1</c:v>
                </c:pt>
                <c:pt idx="21">
                  <c:v>2</c:v>
                </c:pt>
                <c:pt idx="22">
                  <c:v>2</c:v>
                </c:pt>
                <c:pt idx="23">
                  <c:v>0</c:v>
                </c:pt>
                <c:pt idx="24">
                  <c:v>0</c:v>
                </c:pt>
                <c:pt idx="25">
                  <c:v>0</c:v>
                </c:pt>
                <c:pt idx="26">
                  <c:v>1</c:v>
                </c:pt>
                <c:pt idx="27">
                  <c:v>14</c:v>
                </c:pt>
                <c:pt idx="28">
                  <c:v>7</c:v>
                </c:pt>
              </c:numCache>
            </c:numRef>
          </c:val>
          <c:extLst>
            <c:ext xmlns:c16="http://schemas.microsoft.com/office/drawing/2014/chart" uri="{C3380CC4-5D6E-409C-BE32-E72D297353CC}">
              <c16:uniqueId val="{00000004-A20F-4570-A012-D782C18160C0}"/>
            </c:ext>
          </c:extLst>
        </c:ser>
        <c:dLbls>
          <c:showLegendKey val="0"/>
          <c:showVal val="0"/>
          <c:showCatName val="0"/>
          <c:showSerName val="0"/>
          <c:showPercent val="0"/>
          <c:showBubbleSize val="0"/>
        </c:dLbls>
        <c:gapWidth val="36"/>
        <c:overlap val="100"/>
        <c:axId val="1743245183"/>
        <c:axId val="1743232287"/>
      </c:barChart>
      <c:catAx>
        <c:axId val="1743245183"/>
        <c:scaling>
          <c:orientation val="maxMin"/>
        </c:scaling>
        <c:delete val="0"/>
        <c:axPos val="l"/>
        <c:title>
          <c:tx>
            <c:strRef>
              <c:f>GA_Personal_DefiningEvent!$A$2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1743232287"/>
        <c:crosses val="autoZero"/>
        <c:auto val="1"/>
        <c:lblAlgn val="ctr"/>
        <c:lblOffset val="0"/>
        <c:noMultiLvlLbl val="0"/>
      </c:catAx>
      <c:valAx>
        <c:axId val="1743232287"/>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43245183"/>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GA_Personal_PhaseOfFlight!$B$2</c:f>
              <c:strCache>
                <c:ptCount val="1"/>
                <c:pt idx="0">
                  <c:v>Fatal</c:v>
                </c:pt>
              </c:strCache>
            </c:strRef>
          </c:tx>
          <c:spPr>
            <a:solidFill>
              <a:srgbClr val="FDC367"/>
            </a:solidFill>
            <a:ln w="6350">
              <a:solidFill>
                <a:srgbClr val="1A3B69"/>
              </a:solidFill>
              <a:prstDash val="solid"/>
            </a:ln>
          </c:spPr>
          <c:invertIfNegative val="0"/>
          <c:cat>
            <c:strRef>
              <c:f>GA_Personal_PhaseOfFlight!$A$3:$A$12</c:f>
              <c:strCache>
                <c:ptCount val="10"/>
                <c:pt idx="0">
                  <c:v>Landing</c:v>
                </c:pt>
                <c:pt idx="1">
                  <c:v>Enroute</c:v>
                </c:pt>
                <c:pt idx="2">
                  <c:v>Takeoff</c:v>
                </c:pt>
                <c:pt idx="3">
                  <c:v>Approach</c:v>
                </c:pt>
                <c:pt idx="4">
                  <c:v>Initial Climb</c:v>
                </c:pt>
                <c:pt idx="5">
                  <c:v>Maneuvering</c:v>
                </c:pt>
                <c:pt idx="6">
                  <c:v>Taxi</c:v>
                </c:pt>
                <c:pt idx="7">
                  <c:v>Standing</c:v>
                </c:pt>
                <c:pt idx="8">
                  <c:v>Emergency Descent</c:v>
                </c:pt>
                <c:pt idx="9">
                  <c:v>Unknown</c:v>
                </c:pt>
              </c:strCache>
            </c:strRef>
          </c:cat>
          <c:val>
            <c:numRef>
              <c:f>GA_Personal_PhaseOfFlight!$B$3:$B$12</c:f>
              <c:numCache>
                <c:formatCode>General</c:formatCode>
                <c:ptCount val="10"/>
                <c:pt idx="0">
                  <c:v>6</c:v>
                </c:pt>
                <c:pt idx="1">
                  <c:v>53</c:v>
                </c:pt>
                <c:pt idx="2">
                  <c:v>15</c:v>
                </c:pt>
                <c:pt idx="3">
                  <c:v>21</c:v>
                </c:pt>
                <c:pt idx="4">
                  <c:v>24</c:v>
                </c:pt>
                <c:pt idx="5">
                  <c:v>38</c:v>
                </c:pt>
                <c:pt idx="6">
                  <c:v>0</c:v>
                </c:pt>
                <c:pt idx="7">
                  <c:v>1</c:v>
                </c:pt>
                <c:pt idx="8">
                  <c:v>2</c:v>
                </c:pt>
                <c:pt idx="9">
                  <c:v>5</c:v>
                </c:pt>
              </c:numCache>
            </c:numRef>
          </c:val>
          <c:extLst>
            <c:ext xmlns:c16="http://schemas.microsoft.com/office/drawing/2014/chart" uri="{C3380CC4-5D6E-409C-BE32-E72D297353CC}">
              <c16:uniqueId val="{00000003-4EA9-4235-AAAD-450F55068725}"/>
            </c:ext>
          </c:extLst>
        </c:ser>
        <c:ser>
          <c:idx val="1"/>
          <c:order val="1"/>
          <c:tx>
            <c:strRef>
              <c:f>GA_Personal_PhaseOfFlight!$C$2</c:f>
              <c:strCache>
                <c:ptCount val="1"/>
                <c:pt idx="0">
                  <c:v>Non-Fatal</c:v>
                </c:pt>
              </c:strCache>
            </c:strRef>
          </c:tx>
          <c:spPr>
            <a:solidFill>
              <a:srgbClr val="67A3F3"/>
            </a:solidFill>
            <a:ln w="6350">
              <a:solidFill>
                <a:srgbClr val="1A3B69"/>
              </a:solidFill>
              <a:prstDash val="solid"/>
            </a:ln>
          </c:spPr>
          <c:invertIfNegative val="0"/>
          <c:cat>
            <c:strRef>
              <c:f>GA_Personal_PhaseOfFlight!$A$3:$A$12</c:f>
              <c:strCache>
                <c:ptCount val="10"/>
                <c:pt idx="0">
                  <c:v>Landing</c:v>
                </c:pt>
                <c:pt idx="1">
                  <c:v>Enroute</c:v>
                </c:pt>
                <c:pt idx="2">
                  <c:v>Takeoff</c:v>
                </c:pt>
                <c:pt idx="3">
                  <c:v>Approach</c:v>
                </c:pt>
                <c:pt idx="4">
                  <c:v>Initial Climb</c:v>
                </c:pt>
                <c:pt idx="5">
                  <c:v>Maneuvering</c:v>
                </c:pt>
                <c:pt idx="6">
                  <c:v>Taxi</c:v>
                </c:pt>
                <c:pt idx="7">
                  <c:v>Standing</c:v>
                </c:pt>
                <c:pt idx="8">
                  <c:v>Emergency Descent</c:v>
                </c:pt>
                <c:pt idx="9">
                  <c:v>Unknown</c:v>
                </c:pt>
              </c:strCache>
            </c:strRef>
          </c:cat>
          <c:val>
            <c:numRef>
              <c:f>GA_Personal_PhaseOfFlight!$C$3:$C$12</c:f>
              <c:numCache>
                <c:formatCode>General</c:formatCode>
                <c:ptCount val="10"/>
                <c:pt idx="0">
                  <c:v>267</c:v>
                </c:pt>
                <c:pt idx="1">
                  <c:v>107</c:v>
                </c:pt>
                <c:pt idx="2">
                  <c:v>92</c:v>
                </c:pt>
                <c:pt idx="3">
                  <c:v>63</c:v>
                </c:pt>
                <c:pt idx="4">
                  <c:v>45</c:v>
                </c:pt>
                <c:pt idx="5">
                  <c:v>30</c:v>
                </c:pt>
                <c:pt idx="6">
                  <c:v>27</c:v>
                </c:pt>
                <c:pt idx="7">
                  <c:v>10</c:v>
                </c:pt>
                <c:pt idx="8">
                  <c:v>1</c:v>
                </c:pt>
                <c:pt idx="9">
                  <c:v>2</c:v>
                </c:pt>
              </c:numCache>
            </c:numRef>
          </c:val>
          <c:extLst>
            <c:ext xmlns:c16="http://schemas.microsoft.com/office/drawing/2014/chart" uri="{C3380CC4-5D6E-409C-BE32-E72D297353CC}">
              <c16:uniqueId val="{00000004-4EA9-4235-AAAD-450F55068725}"/>
            </c:ext>
          </c:extLst>
        </c:ser>
        <c:dLbls>
          <c:showLegendKey val="0"/>
          <c:showVal val="0"/>
          <c:showCatName val="0"/>
          <c:showSerName val="0"/>
          <c:showPercent val="0"/>
          <c:showBubbleSize val="0"/>
        </c:dLbls>
        <c:gapWidth val="36"/>
        <c:overlap val="100"/>
        <c:axId val="1743263487"/>
        <c:axId val="1743260575"/>
      </c:barChart>
      <c:catAx>
        <c:axId val="1743263487"/>
        <c:scaling>
          <c:orientation val="maxMin"/>
        </c:scaling>
        <c:delete val="0"/>
        <c:axPos val="l"/>
        <c:title>
          <c:tx>
            <c:strRef>
              <c:f>GA_Personal_PhaseOfFlight!$A$2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1743260575"/>
        <c:crosses val="autoZero"/>
        <c:auto val="1"/>
        <c:lblAlgn val="ctr"/>
        <c:lblOffset val="0"/>
        <c:noMultiLvlLbl val="0"/>
      </c:catAx>
      <c:valAx>
        <c:axId val="1743260575"/>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743263487"/>
        <c:crosses val="autoZero"/>
        <c:crossBetween val="between"/>
      </c:valAx>
      <c:spPr>
        <a:solidFill>
          <a:srgbClr val="FFFFFF"/>
        </a:solidFill>
        <a:ln w="6350">
          <a:solidFill>
            <a:srgbClr val="A5A5A5"/>
          </a:solidFill>
        </a:ln>
      </c:spPr>
    </c:plotArea>
    <c:legend>
      <c:legendPos val="b"/>
      <c:layout>
        <c:manualLayout>
          <c:xMode val="edge"/>
          <c:yMode val="edge"/>
          <c:x val="0.7124061679790025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EF6D4D9F-C6E4-44E6-B8F8-C4D78FE430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8ECE81C5-A53D-4920-9B7D-A68F84548230}"/>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439420</xdr:colOff>
      <xdr:row>3</xdr:row>
      <xdr:rowOff>86360</xdr:rowOff>
    </xdr:from>
    <xdr:to>
      <xdr:col>18</xdr:col>
      <xdr:colOff>134620</xdr:colOff>
      <xdr:row>37</xdr:row>
      <xdr:rowOff>22352</xdr:rowOff>
    </xdr:to>
    <xdr:graphicFrame macro="">
      <xdr:nvGraphicFramePr>
        <xdr:cNvPr id="2" name="Chart 1">
          <a:extLst>
            <a:ext uri="{FF2B5EF4-FFF2-40B4-BE49-F238E27FC236}">
              <a16:creationId xmlns:a16="http://schemas.microsoft.com/office/drawing/2014/main" id="{C37CC0DD-0432-4DC9-8468-50554C95BC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424180</xdr:colOff>
      <xdr:row>3</xdr:row>
      <xdr:rowOff>86360</xdr:rowOff>
    </xdr:from>
    <xdr:to>
      <xdr:col>20</xdr:col>
      <xdr:colOff>119380</xdr:colOff>
      <xdr:row>30</xdr:row>
      <xdr:rowOff>25400</xdr:rowOff>
    </xdr:to>
    <xdr:graphicFrame macro="">
      <xdr:nvGraphicFramePr>
        <xdr:cNvPr id="2" name="Chart 1">
          <a:extLst>
            <a:ext uri="{FF2B5EF4-FFF2-40B4-BE49-F238E27FC236}">
              <a16:creationId xmlns:a16="http://schemas.microsoft.com/office/drawing/2014/main" id="{48794545-FDA1-4642-8536-19D83D45B8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81280</xdr:colOff>
      <xdr:row>3</xdr:row>
      <xdr:rowOff>86360</xdr:rowOff>
    </xdr:from>
    <xdr:to>
      <xdr:col>16</xdr:col>
      <xdr:colOff>386080</xdr:colOff>
      <xdr:row>30</xdr:row>
      <xdr:rowOff>25400</xdr:rowOff>
    </xdr:to>
    <xdr:graphicFrame macro="">
      <xdr:nvGraphicFramePr>
        <xdr:cNvPr id="2" name="Chart 1">
          <a:extLst>
            <a:ext uri="{FF2B5EF4-FFF2-40B4-BE49-F238E27FC236}">
              <a16:creationId xmlns:a16="http://schemas.microsoft.com/office/drawing/2014/main" id="{205146A1-6245-4A3C-BDCD-A49AE8995B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84831E59-8605-4F35-A542-E481F00D2032}"/>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477520</xdr:colOff>
      <xdr:row>3</xdr:row>
      <xdr:rowOff>86360</xdr:rowOff>
    </xdr:from>
    <xdr:to>
      <xdr:col>16</xdr:col>
      <xdr:colOff>172720</xdr:colOff>
      <xdr:row>30</xdr:row>
      <xdr:rowOff>25400</xdr:rowOff>
    </xdr:to>
    <xdr:graphicFrame macro="">
      <xdr:nvGraphicFramePr>
        <xdr:cNvPr id="2" name="Chart 1">
          <a:extLst>
            <a:ext uri="{FF2B5EF4-FFF2-40B4-BE49-F238E27FC236}">
              <a16:creationId xmlns:a16="http://schemas.microsoft.com/office/drawing/2014/main" id="{9C27B42B-9DCD-4E25-9E11-2CC0C87964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229169BC-8857-4073-BD8C-06BA88C53F6C}"/>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05E5D88E-BD37-4BB2-8828-4C85B3DA3F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111760</xdr:colOff>
      <xdr:row>3</xdr:row>
      <xdr:rowOff>86360</xdr:rowOff>
    </xdr:from>
    <xdr:to>
      <xdr:col>19</xdr:col>
      <xdr:colOff>416560</xdr:colOff>
      <xdr:row>30</xdr:row>
      <xdr:rowOff>25400</xdr:rowOff>
    </xdr:to>
    <xdr:graphicFrame macro="">
      <xdr:nvGraphicFramePr>
        <xdr:cNvPr id="2" name="Chart 1">
          <a:extLst>
            <a:ext uri="{FF2B5EF4-FFF2-40B4-BE49-F238E27FC236}">
              <a16:creationId xmlns:a16="http://schemas.microsoft.com/office/drawing/2014/main" id="{049156E3-2F8B-49A9-BA50-13342A0ABA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0201E536-A2E2-4C75-9402-6ECB6AF6A01A}"/>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111760</xdr:colOff>
      <xdr:row>3</xdr:row>
      <xdr:rowOff>86360</xdr:rowOff>
    </xdr:from>
    <xdr:to>
      <xdr:col>19</xdr:col>
      <xdr:colOff>416560</xdr:colOff>
      <xdr:row>30</xdr:row>
      <xdr:rowOff>25400</xdr:rowOff>
    </xdr:to>
    <xdr:graphicFrame macro="">
      <xdr:nvGraphicFramePr>
        <xdr:cNvPr id="2" name="Chart 1">
          <a:extLst>
            <a:ext uri="{FF2B5EF4-FFF2-40B4-BE49-F238E27FC236}">
              <a16:creationId xmlns:a16="http://schemas.microsoft.com/office/drawing/2014/main" id="{FF4120B9-F3FB-4E2F-9160-3C0264F684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439420</xdr:colOff>
      <xdr:row>3</xdr:row>
      <xdr:rowOff>86360</xdr:rowOff>
    </xdr:from>
    <xdr:to>
      <xdr:col>18</xdr:col>
      <xdr:colOff>134620</xdr:colOff>
      <xdr:row>31</xdr:row>
      <xdr:rowOff>38100</xdr:rowOff>
    </xdr:to>
    <xdr:graphicFrame macro="">
      <xdr:nvGraphicFramePr>
        <xdr:cNvPr id="2" name="Chart 1">
          <a:extLst>
            <a:ext uri="{FF2B5EF4-FFF2-40B4-BE49-F238E27FC236}">
              <a16:creationId xmlns:a16="http://schemas.microsoft.com/office/drawing/2014/main" id="{18FB0528-E901-4821-8B36-96945445E6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424180</xdr:colOff>
      <xdr:row>3</xdr:row>
      <xdr:rowOff>86360</xdr:rowOff>
    </xdr:from>
    <xdr:to>
      <xdr:col>20</xdr:col>
      <xdr:colOff>119380</xdr:colOff>
      <xdr:row>30</xdr:row>
      <xdr:rowOff>25400</xdr:rowOff>
    </xdr:to>
    <xdr:graphicFrame macro="">
      <xdr:nvGraphicFramePr>
        <xdr:cNvPr id="2" name="Chart 1">
          <a:extLst>
            <a:ext uri="{FF2B5EF4-FFF2-40B4-BE49-F238E27FC236}">
              <a16:creationId xmlns:a16="http://schemas.microsoft.com/office/drawing/2014/main" id="{D3FF47DF-1C07-45E5-844C-339B95C1B0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81280</xdr:colOff>
      <xdr:row>3</xdr:row>
      <xdr:rowOff>86360</xdr:rowOff>
    </xdr:from>
    <xdr:to>
      <xdr:col>16</xdr:col>
      <xdr:colOff>386080</xdr:colOff>
      <xdr:row>30</xdr:row>
      <xdr:rowOff>25400</xdr:rowOff>
    </xdr:to>
    <xdr:graphicFrame macro="">
      <xdr:nvGraphicFramePr>
        <xdr:cNvPr id="2" name="Chart 1">
          <a:extLst>
            <a:ext uri="{FF2B5EF4-FFF2-40B4-BE49-F238E27FC236}">
              <a16:creationId xmlns:a16="http://schemas.microsoft.com/office/drawing/2014/main" id="{F8200B3E-0B8B-4B95-9116-0B6F96DEB1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F88AB325-23ED-49CE-8C2B-4D615C0BB577}"/>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24.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2BE05055-474F-4E10-9871-83F6C6A524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111760</xdr:colOff>
      <xdr:row>3</xdr:row>
      <xdr:rowOff>86360</xdr:rowOff>
    </xdr:from>
    <xdr:to>
      <xdr:col>19</xdr:col>
      <xdr:colOff>416560</xdr:colOff>
      <xdr:row>30</xdr:row>
      <xdr:rowOff>25400</xdr:rowOff>
    </xdr:to>
    <xdr:graphicFrame macro="">
      <xdr:nvGraphicFramePr>
        <xdr:cNvPr id="2" name="Chart 1">
          <a:extLst>
            <a:ext uri="{FF2B5EF4-FFF2-40B4-BE49-F238E27FC236}">
              <a16:creationId xmlns:a16="http://schemas.microsoft.com/office/drawing/2014/main" id="{8D0597D9-5DEB-487D-969A-5EDD793C8D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F5E0CCAF-9B3C-4D8B-89B2-E28A99657A61}"/>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439420</xdr:colOff>
      <xdr:row>3</xdr:row>
      <xdr:rowOff>86360</xdr:rowOff>
    </xdr:from>
    <xdr:to>
      <xdr:col>18</xdr:col>
      <xdr:colOff>134620</xdr:colOff>
      <xdr:row>30</xdr:row>
      <xdr:rowOff>25400</xdr:rowOff>
    </xdr:to>
    <xdr:graphicFrame macro="">
      <xdr:nvGraphicFramePr>
        <xdr:cNvPr id="2" name="Chart 1">
          <a:extLst>
            <a:ext uri="{FF2B5EF4-FFF2-40B4-BE49-F238E27FC236}">
              <a16:creationId xmlns:a16="http://schemas.microsoft.com/office/drawing/2014/main" id="{14E39B42-BF5A-47CC-A1E9-4A769031D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8</xdr:col>
      <xdr:colOff>50800</xdr:colOff>
      <xdr:row>3</xdr:row>
      <xdr:rowOff>86360</xdr:rowOff>
    </xdr:from>
    <xdr:to>
      <xdr:col>20</xdr:col>
      <xdr:colOff>355600</xdr:colOff>
      <xdr:row>30</xdr:row>
      <xdr:rowOff>25400</xdr:rowOff>
    </xdr:to>
    <xdr:graphicFrame macro="">
      <xdr:nvGraphicFramePr>
        <xdr:cNvPr id="2" name="Chart 1">
          <a:extLst>
            <a:ext uri="{FF2B5EF4-FFF2-40B4-BE49-F238E27FC236}">
              <a16:creationId xmlns:a16="http://schemas.microsoft.com/office/drawing/2014/main" id="{9442F8B7-2185-4FE1-BF78-9D4447EFC3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20320</xdr:colOff>
      <xdr:row>3</xdr:row>
      <xdr:rowOff>86360</xdr:rowOff>
    </xdr:from>
    <xdr:to>
      <xdr:col>15</xdr:col>
      <xdr:colOff>325120</xdr:colOff>
      <xdr:row>30</xdr:row>
      <xdr:rowOff>25400</xdr:rowOff>
    </xdr:to>
    <xdr:graphicFrame macro="">
      <xdr:nvGraphicFramePr>
        <xdr:cNvPr id="2" name="Chart 1">
          <a:extLst>
            <a:ext uri="{FF2B5EF4-FFF2-40B4-BE49-F238E27FC236}">
              <a16:creationId xmlns:a16="http://schemas.microsoft.com/office/drawing/2014/main" id="{08A6FBCD-E2CC-45AB-BE00-0B534E348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2C300CA7-BB8D-4924-81BE-CB06F4A323F8}"/>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30.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611E49FB-7B0D-4170-B0D2-4288386AC805}"/>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FE4A5053-E256-4093-8CC4-9FDDB65E36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7</xdr:col>
      <xdr:colOff>111760</xdr:colOff>
      <xdr:row>3</xdr:row>
      <xdr:rowOff>86360</xdr:rowOff>
    </xdr:from>
    <xdr:to>
      <xdr:col>19</xdr:col>
      <xdr:colOff>416560</xdr:colOff>
      <xdr:row>30</xdr:row>
      <xdr:rowOff>25400</xdr:rowOff>
    </xdr:to>
    <xdr:graphicFrame macro="">
      <xdr:nvGraphicFramePr>
        <xdr:cNvPr id="2" name="Chart 1">
          <a:extLst>
            <a:ext uri="{FF2B5EF4-FFF2-40B4-BE49-F238E27FC236}">
              <a16:creationId xmlns:a16="http://schemas.microsoft.com/office/drawing/2014/main" id="{A7122C19-6EFC-49EE-B4FA-ADDE2D0689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F00C20D2-CA0E-4632-B0A3-405B0EE23D79}"/>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34.xml><?xml version="1.0" encoding="utf-8"?>
<xdr:wsDr xmlns:xdr="http://schemas.openxmlformats.org/drawingml/2006/spreadsheetDrawing" xmlns:a="http://schemas.openxmlformats.org/drawingml/2006/main">
  <xdr:twoCellAnchor>
    <xdr:from>
      <xdr:col>7</xdr:col>
      <xdr:colOff>5080</xdr:colOff>
      <xdr:row>3</xdr:row>
      <xdr:rowOff>86360</xdr:rowOff>
    </xdr:from>
    <xdr:to>
      <xdr:col>19</xdr:col>
      <xdr:colOff>309880</xdr:colOff>
      <xdr:row>30</xdr:row>
      <xdr:rowOff>25400</xdr:rowOff>
    </xdr:to>
    <xdr:graphicFrame macro="">
      <xdr:nvGraphicFramePr>
        <xdr:cNvPr id="2" name="Chart 1">
          <a:extLst>
            <a:ext uri="{FF2B5EF4-FFF2-40B4-BE49-F238E27FC236}">
              <a16:creationId xmlns:a16="http://schemas.microsoft.com/office/drawing/2014/main" id="{CB560BB4-D59F-45C2-9F28-F6786C276C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8</xdr:col>
      <xdr:colOff>50800</xdr:colOff>
      <xdr:row>3</xdr:row>
      <xdr:rowOff>86360</xdr:rowOff>
    </xdr:from>
    <xdr:to>
      <xdr:col>20</xdr:col>
      <xdr:colOff>355600</xdr:colOff>
      <xdr:row>30</xdr:row>
      <xdr:rowOff>25400</xdr:rowOff>
    </xdr:to>
    <xdr:graphicFrame macro="">
      <xdr:nvGraphicFramePr>
        <xdr:cNvPr id="2" name="Chart 1">
          <a:extLst>
            <a:ext uri="{FF2B5EF4-FFF2-40B4-BE49-F238E27FC236}">
              <a16:creationId xmlns:a16="http://schemas.microsoft.com/office/drawing/2014/main" id="{CCF3D212-5569-40B0-9AF2-9212FA15CF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DE04E1B9-C22B-4B84-A2CE-F5A1B06EF6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439420</xdr:colOff>
      <xdr:row>3</xdr:row>
      <xdr:rowOff>86360</xdr:rowOff>
    </xdr:from>
    <xdr:to>
      <xdr:col>18</xdr:col>
      <xdr:colOff>134620</xdr:colOff>
      <xdr:row>30</xdr:row>
      <xdr:rowOff>25400</xdr:rowOff>
    </xdr:to>
    <xdr:graphicFrame macro="">
      <xdr:nvGraphicFramePr>
        <xdr:cNvPr id="2" name="Chart 1">
          <a:extLst>
            <a:ext uri="{FF2B5EF4-FFF2-40B4-BE49-F238E27FC236}">
              <a16:creationId xmlns:a16="http://schemas.microsoft.com/office/drawing/2014/main" id="{E1CD76AE-1EC4-4569-BE9E-1E137ED160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8</xdr:col>
      <xdr:colOff>50800</xdr:colOff>
      <xdr:row>3</xdr:row>
      <xdr:rowOff>86360</xdr:rowOff>
    </xdr:from>
    <xdr:to>
      <xdr:col>20</xdr:col>
      <xdr:colOff>355600</xdr:colOff>
      <xdr:row>30</xdr:row>
      <xdr:rowOff>25400</xdr:rowOff>
    </xdr:to>
    <xdr:graphicFrame macro="">
      <xdr:nvGraphicFramePr>
        <xdr:cNvPr id="2" name="Chart 1">
          <a:extLst>
            <a:ext uri="{FF2B5EF4-FFF2-40B4-BE49-F238E27FC236}">
              <a16:creationId xmlns:a16="http://schemas.microsoft.com/office/drawing/2014/main" id="{C5B66EE8-0C91-4051-822D-C7A64736D6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439420</xdr:colOff>
      <xdr:row>3</xdr:row>
      <xdr:rowOff>86360</xdr:rowOff>
    </xdr:from>
    <xdr:to>
      <xdr:col>18</xdr:col>
      <xdr:colOff>134620</xdr:colOff>
      <xdr:row>42</xdr:row>
      <xdr:rowOff>177800</xdr:rowOff>
    </xdr:to>
    <xdr:graphicFrame macro="">
      <xdr:nvGraphicFramePr>
        <xdr:cNvPr id="2" name="Chart 1">
          <a:extLst>
            <a:ext uri="{FF2B5EF4-FFF2-40B4-BE49-F238E27FC236}">
              <a16:creationId xmlns:a16="http://schemas.microsoft.com/office/drawing/2014/main" id="{939B6C42-D0D5-4631-93A1-3A4E5716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294640</xdr:colOff>
      <xdr:row>3</xdr:row>
      <xdr:rowOff>86360</xdr:rowOff>
    </xdr:from>
    <xdr:to>
      <xdr:col>19</xdr:col>
      <xdr:colOff>599440</xdr:colOff>
      <xdr:row>30</xdr:row>
      <xdr:rowOff>25400</xdr:rowOff>
    </xdr:to>
    <xdr:graphicFrame macro="">
      <xdr:nvGraphicFramePr>
        <xdr:cNvPr id="2" name="Chart 1">
          <a:extLst>
            <a:ext uri="{FF2B5EF4-FFF2-40B4-BE49-F238E27FC236}">
              <a16:creationId xmlns:a16="http://schemas.microsoft.com/office/drawing/2014/main" id="{CAC1228A-2D26-4AFC-AE01-39578753E2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3</xdr:row>
      <xdr:rowOff>86360</xdr:rowOff>
    </xdr:from>
    <xdr:to>
      <xdr:col>17</xdr:col>
      <xdr:colOff>309880</xdr:colOff>
      <xdr:row>30</xdr:row>
      <xdr:rowOff>25400</xdr:rowOff>
    </xdr:to>
    <xdr:graphicFrame macro="">
      <xdr:nvGraphicFramePr>
        <xdr:cNvPr id="2" name="Chart 1">
          <a:extLst>
            <a:ext uri="{FF2B5EF4-FFF2-40B4-BE49-F238E27FC236}">
              <a16:creationId xmlns:a16="http://schemas.microsoft.com/office/drawing/2014/main" id="{A98250C0-EB8C-47ED-87CB-64EAD701B3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BD17DE33-6B45-44B7-B942-81B916719B4F}"/>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743B26A8-8175-4B5B-9815-D211048474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111760</xdr:colOff>
      <xdr:row>3</xdr:row>
      <xdr:rowOff>86360</xdr:rowOff>
    </xdr:from>
    <xdr:to>
      <xdr:col>19</xdr:col>
      <xdr:colOff>416560</xdr:colOff>
      <xdr:row>30</xdr:row>
      <xdr:rowOff>25400</xdr:rowOff>
    </xdr:to>
    <xdr:graphicFrame macro="">
      <xdr:nvGraphicFramePr>
        <xdr:cNvPr id="2" name="Chart 1">
          <a:extLst>
            <a:ext uri="{FF2B5EF4-FFF2-40B4-BE49-F238E27FC236}">
              <a16:creationId xmlns:a16="http://schemas.microsoft.com/office/drawing/2014/main" id="{4179B634-9848-4510-8054-0FFBAF3FA2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7181-D379-4C97-BD79-06D5C4346EBC}">
  <sheetPr codeName="Sheet1"/>
  <dimension ref="A1:B55"/>
  <sheetViews>
    <sheetView tabSelected="1" workbookViewId="0"/>
  </sheetViews>
  <sheetFormatPr defaultRowHeight="14.4" x14ac:dyDescent="0.3"/>
  <cols>
    <col min="1" max="1" width="28.33203125" style="3" bestFit="1" customWidth="1"/>
    <col min="2" max="2" width="128.6640625" style="2" customWidth="1"/>
    <col min="3" max="16384" width="8.88671875" style="3"/>
  </cols>
  <sheetData>
    <row r="1" spans="1:2" x14ac:dyDescent="0.3">
      <c r="A1" s="1" t="s">
        <v>60</v>
      </c>
    </row>
    <row r="2" spans="1:2" ht="43.2" x14ac:dyDescent="0.3">
      <c r="A2" s="4" t="s">
        <v>0</v>
      </c>
      <c r="B2" s="2" t="s">
        <v>1</v>
      </c>
    </row>
    <row r="3" spans="1:2" x14ac:dyDescent="0.3">
      <c r="A3" s="4" t="s">
        <v>2</v>
      </c>
      <c r="B3" s="2" t="s">
        <v>3</v>
      </c>
    </row>
    <row r="4" spans="1:2" x14ac:dyDescent="0.3">
      <c r="A4" s="4" t="s">
        <v>4</v>
      </c>
      <c r="B4" s="2" t="s">
        <v>5</v>
      </c>
    </row>
    <row r="5" spans="1:2" x14ac:dyDescent="0.3">
      <c r="A5" s="4" t="s">
        <v>6</v>
      </c>
      <c r="B5" s="2" t="s">
        <v>7</v>
      </c>
    </row>
    <row r="6" spans="1:2" ht="28.8" x14ac:dyDescent="0.3">
      <c r="A6" s="4" t="s">
        <v>8</v>
      </c>
      <c r="B6" s="2" t="s">
        <v>9</v>
      </c>
    </row>
    <row r="7" spans="1:2" ht="28.8" x14ac:dyDescent="0.3">
      <c r="A7" s="4" t="s">
        <v>10</v>
      </c>
      <c r="B7" s="2" t="s">
        <v>11</v>
      </c>
    </row>
    <row r="8" spans="1:2" x14ac:dyDescent="0.3">
      <c r="A8" s="4" t="s">
        <v>12</v>
      </c>
      <c r="B8" s="2" t="s">
        <v>13</v>
      </c>
    </row>
    <row r="9" spans="1:2" x14ac:dyDescent="0.3">
      <c r="A9" s="4" t="s">
        <v>14</v>
      </c>
      <c r="B9" s="2" t="s">
        <v>15</v>
      </c>
    </row>
    <row r="10" spans="1:2" x14ac:dyDescent="0.3">
      <c r="A10" s="4" t="s">
        <v>16</v>
      </c>
      <c r="B10" s="2" t="s">
        <v>17</v>
      </c>
    </row>
    <row r="11" spans="1:2" ht="28.8" x14ac:dyDescent="0.3">
      <c r="A11" s="4" t="s">
        <v>18</v>
      </c>
      <c r="B11" s="2" t="s">
        <v>19</v>
      </c>
    </row>
    <row r="12" spans="1:2" ht="28.8" x14ac:dyDescent="0.3">
      <c r="A12" s="4" t="s">
        <v>20</v>
      </c>
      <c r="B12" s="2" t="s">
        <v>21</v>
      </c>
    </row>
    <row r="13" spans="1:2" x14ac:dyDescent="0.3">
      <c r="A13" s="4" t="s">
        <v>22</v>
      </c>
      <c r="B13" s="2" t="s">
        <v>23</v>
      </c>
    </row>
    <row r="14" spans="1:2" x14ac:dyDescent="0.3">
      <c r="A14" s="4" t="s">
        <v>24</v>
      </c>
      <c r="B14" s="2" t="s">
        <v>25</v>
      </c>
    </row>
    <row r="15" spans="1:2" x14ac:dyDescent="0.3">
      <c r="A15" s="4" t="s">
        <v>26</v>
      </c>
      <c r="B15" s="2" t="s">
        <v>27</v>
      </c>
    </row>
    <row r="16" spans="1:2" x14ac:dyDescent="0.3">
      <c r="A16" s="4" t="s">
        <v>28</v>
      </c>
      <c r="B16" s="2" t="s">
        <v>29</v>
      </c>
    </row>
    <row r="17" spans="1:2" ht="28.8" x14ac:dyDescent="0.3">
      <c r="A17" s="4" t="s">
        <v>30</v>
      </c>
      <c r="B17" s="2" t="s">
        <v>31</v>
      </c>
    </row>
    <row r="18" spans="1:2" ht="28.8" x14ac:dyDescent="0.3">
      <c r="A18" s="4" t="s">
        <v>32</v>
      </c>
      <c r="B18" s="2" t="s">
        <v>33</v>
      </c>
    </row>
    <row r="19" spans="1:2" x14ac:dyDescent="0.3">
      <c r="A19" s="4" t="s">
        <v>34</v>
      </c>
      <c r="B19" s="2" t="s">
        <v>35</v>
      </c>
    </row>
    <row r="20" spans="1:2" x14ac:dyDescent="0.3">
      <c r="A20" s="4" t="s">
        <v>36</v>
      </c>
      <c r="B20" s="2" t="s">
        <v>37</v>
      </c>
    </row>
    <row r="21" spans="1:2" x14ac:dyDescent="0.3">
      <c r="A21" s="4" t="s">
        <v>38</v>
      </c>
      <c r="B21" s="2" t="s">
        <v>39</v>
      </c>
    </row>
    <row r="22" spans="1:2" ht="28.8" x14ac:dyDescent="0.3">
      <c r="A22" s="4" t="s">
        <v>40</v>
      </c>
      <c r="B22" s="2" t="s">
        <v>41</v>
      </c>
    </row>
    <row r="23" spans="1:2" ht="28.8" x14ac:dyDescent="0.3">
      <c r="A23" s="4" t="s">
        <v>42</v>
      </c>
      <c r="B23" s="2" t="s">
        <v>43</v>
      </c>
    </row>
    <row r="24" spans="1:2" x14ac:dyDescent="0.3">
      <c r="A24" s="4" t="s">
        <v>44</v>
      </c>
      <c r="B24" s="2" t="s">
        <v>45</v>
      </c>
    </row>
    <row r="25" spans="1:2" x14ac:dyDescent="0.3">
      <c r="A25" s="4" t="s">
        <v>46</v>
      </c>
      <c r="B25" s="2" t="s">
        <v>47</v>
      </c>
    </row>
    <row r="26" spans="1:2" ht="28.8" x14ac:dyDescent="0.3">
      <c r="A26" s="4" t="s">
        <v>48</v>
      </c>
      <c r="B26" s="2" t="s">
        <v>49</v>
      </c>
    </row>
    <row r="27" spans="1:2" ht="28.8" x14ac:dyDescent="0.3">
      <c r="A27" s="4" t="s">
        <v>50</v>
      </c>
      <c r="B27" s="2" t="s">
        <v>51</v>
      </c>
    </row>
    <row r="28" spans="1:2" ht="28.8" x14ac:dyDescent="0.3">
      <c r="A28" s="4" t="s">
        <v>52</v>
      </c>
      <c r="B28" s="2" t="s">
        <v>53</v>
      </c>
    </row>
    <row r="29" spans="1:2" ht="28.8" x14ac:dyDescent="0.3">
      <c r="A29" s="4" t="s">
        <v>54</v>
      </c>
      <c r="B29" s="2" t="s">
        <v>55</v>
      </c>
    </row>
    <row r="30" spans="1:2" ht="28.8" x14ac:dyDescent="0.3">
      <c r="A30" s="4" t="s">
        <v>56</v>
      </c>
      <c r="B30" s="2" t="s">
        <v>57</v>
      </c>
    </row>
    <row r="31" spans="1:2" ht="28.8" x14ac:dyDescent="0.3">
      <c r="A31" s="4" t="s">
        <v>58</v>
      </c>
      <c r="B31" s="2" t="s">
        <v>59</v>
      </c>
    </row>
    <row r="33" spans="1:2" x14ac:dyDescent="0.3">
      <c r="A33" s="1" t="s">
        <v>2791</v>
      </c>
    </row>
    <row r="34" spans="1:2" ht="72" x14ac:dyDescent="0.3">
      <c r="A34" s="4" t="s">
        <v>62</v>
      </c>
      <c r="B34" s="2" t="s">
        <v>2792</v>
      </c>
    </row>
    <row r="35" spans="1:2" x14ac:dyDescent="0.3">
      <c r="A35" s="4" t="s">
        <v>63</v>
      </c>
      <c r="B35" s="2" t="s">
        <v>2793</v>
      </c>
    </row>
    <row r="36" spans="1:2" x14ac:dyDescent="0.3">
      <c r="A36" s="4" t="s">
        <v>64</v>
      </c>
      <c r="B36" s="2" t="s">
        <v>2794</v>
      </c>
    </row>
    <row r="37" spans="1:2" x14ac:dyDescent="0.3">
      <c r="A37" s="4" t="s">
        <v>65</v>
      </c>
      <c r="B37" s="2" t="s">
        <v>2795</v>
      </c>
    </row>
    <row r="38" spans="1:2" ht="28.8" x14ac:dyDescent="0.3">
      <c r="A38" s="4" t="s">
        <v>66</v>
      </c>
      <c r="B38" s="2" t="s">
        <v>2796</v>
      </c>
    </row>
    <row r="39" spans="1:2" x14ac:dyDescent="0.3">
      <c r="A39" s="4" t="s">
        <v>67</v>
      </c>
      <c r="B39" s="2" t="s">
        <v>2797</v>
      </c>
    </row>
    <row r="40" spans="1:2" x14ac:dyDescent="0.3">
      <c r="A40" s="4" t="s">
        <v>68</v>
      </c>
      <c r="B40" s="2" t="s">
        <v>2798</v>
      </c>
    </row>
    <row r="41" spans="1:2" x14ac:dyDescent="0.3">
      <c r="A41" s="4" t="s">
        <v>69</v>
      </c>
      <c r="B41" s="2" t="s">
        <v>2799</v>
      </c>
    </row>
    <row r="42" spans="1:2" x14ac:dyDescent="0.3">
      <c r="A42" s="4" t="s">
        <v>70</v>
      </c>
      <c r="B42" s="2" t="s">
        <v>2800</v>
      </c>
    </row>
    <row r="43" spans="1:2" x14ac:dyDescent="0.3">
      <c r="A43" s="4" t="s">
        <v>71</v>
      </c>
      <c r="B43" s="2" t="s">
        <v>2801</v>
      </c>
    </row>
    <row r="44" spans="1:2" x14ac:dyDescent="0.3">
      <c r="A44" s="4" t="s">
        <v>72</v>
      </c>
      <c r="B44" s="2" t="s">
        <v>2802</v>
      </c>
    </row>
    <row r="45" spans="1:2" ht="28.8" x14ac:dyDescent="0.3">
      <c r="A45" s="4" t="s">
        <v>73</v>
      </c>
      <c r="B45" s="2" t="s">
        <v>2803</v>
      </c>
    </row>
    <row r="46" spans="1:2" x14ac:dyDescent="0.3">
      <c r="A46" s="4" t="s">
        <v>74</v>
      </c>
      <c r="B46" s="2" t="s">
        <v>2804</v>
      </c>
    </row>
    <row r="47" spans="1:2" ht="28.8" x14ac:dyDescent="0.3">
      <c r="A47" s="4" t="s">
        <v>75</v>
      </c>
      <c r="B47" s="2" t="s">
        <v>2805</v>
      </c>
    </row>
    <row r="48" spans="1:2" x14ac:dyDescent="0.3">
      <c r="A48" s="4" t="s">
        <v>76</v>
      </c>
      <c r="B48" s="2" t="s">
        <v>2806</v>
      </c>
    </row>
    <row r="49" spans="1:2" ht="28.8" x14ac:dyDescent="0.3">
      <c r="A49" s="4" t="s">
        <v>77</v>
      </c>
      <c r="B49" s="2" t="s">
        <v>2807</v>
      </c>
    </row>
    <row r="50" spans="1:2" ht="43.2" x14ac:dyDescent="0.3">
      <c r="A50" s="4" t="s">
        <v>78</v>
      </c>
      <c r="B50" s="2" t="s">
        <v>2808</v>
      </c>
    </row>
    <row r="51" spans="1:2" x14ac:dyDescent="0.3">
      <c r="A51" s="4" t="s">
        <v>79</v>
      </c>
      <c r="B51" s="2" t="s">
        <v>2809</v>
      </c>
    </row>
    <row r="52" spans="1:2" x14ac:dyDescent="0.3">
      <c r="A52" s="4" t="s">
        <v>80</v>
      </c>
      <c r="B52" s="2" t="s">
        <v>2810</v>
      </c>
    </row>
    <row r="53" spans="1:2" ht="28.8" x14ac:dyDescent="0.3">
      <c r="A53" s="4" t="s">
        <v>81</v>
      </c>
      <c r="B53" s="2" t="s">
        <v>2811</v>
      </c>
    </row>
    <row r="54" spans="1:2" ht="28.8" x14ac:dyDescent="0.3">
      <c r="A54" s="4" t="s">
        <v>82</v>
      </c>
      <c r="B54" s="2" t="s">
        <v>2812</v>
      </c>
    </row>
    <row r="55" spans="1:2" ht="28.8" x14ac:dyDescent="0.3">
      <c r="A55" s="4" t="s">
        <v>83</v>
      </c>
      <c r="B55" s="2" t="s">
        <v>2813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5FEE-44B0-48C6-B6C8-B3CE003FC251}">
  <sheetPr codeName="Sheet10"/>
  <dimension ref="A1:C12"/>
  <sheetViews>
    <sheetView workbookViewId="0">
      <selection sqref="A1:XFD1"/>
    </sheetView>
  </sheetViews>
  <sheetFormatPr defaultRowHeight="14.4" x14ac:dyDescent="0.3"/>
  <cols>
    <col min="1" max="1" width="12.88671875" bestFit="1" customWidth="1"/>
    <col min="2" max="3" width="12" bestFit="1" customWidth="1"/>
  </cols>
  <sheetData>
    <row r="1" spans="1:3" s="9" customFormat="1" x14ac:dyDescent="0.3">
      <c r="A1" s="8" t="s">
        <v>2765</v>
      </c>
    </row>
    <row r="2" spans="1:3" s="5" customFormat="1" x14ac:dyDescent="0.3">
      <c r="A2" s="5" t="s">
        <v>2751</v>
      </c>
      <c r="B2" s="5" t="s">
        <v>107</v>
      </c>
      <c r="C2" s="5" t="s">
        <v>2752</v>
      </c>
    </row>
    <row r="3" spans="1:3" x14ac:dyDescent="0.3">
      <c r="A3">
        <v>2010</v>
      </c>
      <c r="B3">
        <v>2.398146532498695</v>
      </c>
      <c r="C3">
        <v>12.44038513733698</v>
      </c>
    </row>
    <row r="4" spans="1:3" x14ac:dyDescent="0.3">
      <c r="A4" s="7" t="s">
        <v>2815</v>
      </c>
    </row>
    <row r="5" spans="1:3" x14ac:dyDescent="0.3">
      <c r="A5">
        <v>2012</v>
      </c>
      <c r="B5">
        <v>2.4558046792242587</v>
      </c>
      <c r="C5">
        <v>11.98579298666168</v>
      </c>
    </row>
    <row r="6" spans="1:3" x14ac:dyDescent="0.3">
      <c r="A6">
        <v>2013</v>
      </c>
      <c r="B6">
        <v>2.086383219915223</v>
      </c>
      <c r="C6">
        <v>11.2108325016778</v>
      </c>
    </row>
    <row r="7" spans="1:3" x14ac:dyDescent="0.3">
      <c r="A7">
        <v>2014</v>
      </c>
      <c r="B7">
        <v>2.6385882007875239</v>
      </c>
      <c r="C7">
        <v>11.866357985862123</v>
      </c>
    </row>
    <row r="8" spans="1:3" x14ac:dyDescent="0.3">
      <c r="A8">
        <v>2015</v>
      </c>
      <c r="B8">
        <v>2.2587925516853415</v>
      </c>
      <c r="C8">
        <v>11.078839658266199</v>
      </c>
    </row>
    <row r="9" spans="1:3" x14ac:dyDescent="0.3">
      <c r="A9">
        <v>2016</v>
      </c>
      <c r="B9">
        <v>1.7157053379024474</v>
      </c>
      <c r="C9">
        <v>10.853424878286594</v>
      </c>
    </row>
    <row r="10" spans="1:3" x14ac:dyDescent="0.3">
      <c r="A10">
        <v>2017</v>
      </c>
      <c r="B10">
        <v>1.9771660431746305</v>
      </c>
      <c r="C10">
        <v>10.604799686118472</v>
      </c>
    </row>
    <row r="11" spans="1:3" x14ac:dyDescent="0.3">
      <c r="A11">
        <v>2018</v>
      </c>
      <c r="B11">
        <v>2.0074105828095719</v>
      </c>
      <c r="C11">
        <v>10.930674399298573</v>
      </c>
    </row>
    <row r="12" spans="1:3" x14ac:dyDescent="0.3">
      <c r="A12">
        <v>2019</v>
      </c>
      <c r="B12">
        <v>2.076586285791016</v>
      </c>
      <c r="C12">
        <v>10.230053910982734</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0967-51A4-4439-9834-6504099C9C13}">
  <sheetPr codeName="Sheet11"/>
  <dimension ref="A1:C31"/>
  <sheetViews>
    <sheetView workbookViewId="0">
      <selection sqref="A1:XFD1"/>
    </sheetView>
  </sheetViews>
  <sheetFormatPr defaultRowHeight="14.4" x14ac:dyDescent="0.3"/>
  <cols>
    <col min="1" max="1" width="34.5546875" bestFit="1" customWidth="1"/>
    <col min="2" max="2" width="5.6640625" bestFit="1" customWidth="1"/>
    <col min="3" max="3" width="9.6640625" bestFit="1" customWidth="1"/>
  </cols>
  <sheetData>
    <row r="1" spans="1:3" s="9" customFormat="1" x14ac:dyDescent="0.3">
      <c r="A1" s="8" t="s">
        <v>2766</v>
      </c>
    </row>
    <row r="2" spans="1:3" s="5" customFormat="1" x14ac:dyDescent="0.3">
      <c r="A2" s="5" t="s">
        <v>2758</v>
      </c>
      <c r="B2" s="5" t="s">
        <v>107</v>
      </c>
      <c r="C2" s="5" t="s">
        <v>2759</v>
      </c>
    </row>
    <row r="3" spans="1:3" x14ac:dyDescent="0.3">
      <c r="A3" t="s">
        <v>159</v>
      </c>
      <c r="B3">
        <v>17</v>
      </c>
      <c r="C3">
        <v>149</v>
      </c>
    </row>
    <row r="4" spans="1:3" x14ac:dyDescent="0.3">
      <c r="A4" t="s">
        <v>94</v>
      </c>
      <c r="B4">
        <v>0</v>
      </c>
      <c r="C4">
        <v>148</v>
      </c>
    </row>
    <row r="5" spans="1:3" x14ac:dyDescent="0.3">
      <c r="A5" t="s">
        <v>102</v>
      </c>
      <c r="B5">
        <v>63</v>
      </c>
      <c r="C5">
        <v>68</v>
      </c>
    </row>
    <row r="6" spans="1:3" x14ac:dyDescent="0.3">
      <c r="A6" t="s">
        <v>109</v>
      </c>
      <c r="B6">
        <v>3</v>
      </c>
      <c r="C6">
        <v>100</v>
      </c>
    </row>
    <row r="7" spans="1:3" x14ac:dyDescent="0.3">
      <c r="A7" t="s">
        <v>118</v>
      </c>
      <c r="B7">
        <v>9</v>
      </c>
      <c r="C7">
        <v>35</v>
      </c>
    </row>
    <row r="8" spans="1:3" x14ac:dyDescent="0.3">
      <c r="A8" t="s">
        <v>411</v>
      </c>
      <c r="B8">
        <v>5</v>
      </c>
      <c r="C8">
        <v>27</v>
      </c>
    </row>
    <row r="9" spans="1:3" x14ac:dyDescent="0.3">
      <c r="A9" t="s">
        <v>139</v>
      </c>
      <c r="B9">
        <v>1</v>
      </c>
      <c r="C9">
        <v>25</v>
      </c>
    </row>
    <row r="10" spans="1:3" x14ac:dyDescent="0.3">
      <c r="A10" t="s">
        <v>220</v>
      </c>
      <c r="B10">
        <v>0</v>
      </c>
      <c r="C10">
        <v>15</v>
      </c>
    </row>
    <row r="11" spans="1:3" x14ac:dyDescent="0.3">
      <c r="A11" t="s">
        <v>279</v>
      </c>
      <c r="B11">
        <v>14</v>
      </c>
      <c r="C11">
        <v>0</v>
      </c>
    </row>
    <row r="12" spans="1:3" x14ac:dyDescent="0.3">
      <c r="A12" t="s">
        <v>332</v>
      </c>
      <c r="B12">
        <v>10</v>
      </c>
      <c r="C12">
        <v>3</v>
      </c>
    </row>
    <row r="13" spans="1:3" x14ac:dyDescent="0.3">
      <c r="A13" t="s">
        <v>247</v>
      </c>
      <c r="B13">
        <v>0</v>
      </c>
      <c r="C13">
        <v>11</v>
      </c>
    </row>
    <row r="14" spans="1:3" x14ac:dyDescent="0.3">
      <c r="A14" t="s">
        <v>113</v>
      </c>
      <c r="B14">
        <v>4</v>
      </c>
      <c r="C14">
        <v>6</v>
      </c>
    </row>
    <row r="15" spans="1:3" x14ac:dyDescent="0.3">
      <c r="A15" t="s">
        <v>542</v>
      </c>
      <c r="B15">
        <v>1</v>
      </c>
      <c r="C15">
        <v>6</v>
      </c>
    </row>
    <row r="16" spans="1:3" x14ac:dyDescent="0.3">
      <c r="A16" t="s">
        <v>749</v>
      </c>
      <c r="B16">
        <v>1</v>
      </c>
      <c r="C16">
        <v>6</v>
      </c>
    </row>
    <row r="17" spans="1:3" x14ac:dyDescent="0.3">
      <c r="A17" t="s">
        <v>587</v>
      </c>
      <c r="B17">
        <v>0</v>
      </c>
      <c r="C17">
        <v>7</v>
      </c>
    </row>
    <row r="18" spans="1:3" x14ac:dyDescent="0.3">
      <c r="A18" t="s">
        <v>229</v>
      </c>
      <c r="B18">
        <v>4</v>
      </c>
      <c r="C18">
        <v>1</v>
      </c>
    </row>
    <row r="19" spans="1:3" x14ac:dyDescent="0.3">
      <c r="A19" t="s">
        <v>499</v>
      </c>
      <c r="B19">
        <v>0</v>
      </c>
      <c r="C19">
        <v>5</v>
      </c>
    </row>
    <row r="20" spans="1:3" x14ac:dyDescent="0.3">
      <c r="A20" t="s">
        <v>414</v>
      </c>
      <c r="B20">
        <v>0</v>
      </c>
      <c r="C20">
        <v>4</v>
      </c>
    </row>
    <row r="21" spans="1:3" x14ac:dyDescent="0.3">
      <c r="A21" t="s">
        <v>493</v>
      </c>
      <c r="B21">
        <v>3</v>
      </c>
      <c r="C21">
        <v>0</v>
      </c>
    </row>
    <row r="22" spans="1:3" x14ac:dyDescent="0.3">
      <c r="A22" t="s">
        <v>287</v>
      </c>
      <c r="B22">
        <v>2</v>
      </c>
      <c r="C22">
        <v>1</v>
      </c>
    </row>
    <row r="23" spans="1:3" x14ac:dyDescent="0.3">
      <c r="A23" t="s">
        <v>321</v>
      </c>
      <c r="B23">
        <v>2</v>
      </c>
      <c r="C23">
        <v>1</v>
      </c>
    </row>
    <row r="24" spans="1:3" x14ac:dyDescent="0.3">
      <c r="A24" t="s">
        <v>769</v>
      </c>
      <c r="B24">
        <v>1</v>
      </c>
      <c r="C24">
        <v>2</v>
      </c>
    </row>
    <row r="25" spans="1:3" x14ac:dyDescent="0.3">
      <c r="A25" t="s">
        <v>934</v>
      </c>
      <c r="B25">
        <v>1</v>
      </c>
      <c r="C25">
        <v>2</v>
      </c>
    </row>
    <row r="26" spans="1:3" x14ac:dyDescent="0.3">
      <c r="A26" t="s">
        <v>181</v>
      </c>
      <c r="B26">
        <v>2</v>
      </c>
      <c r="C26">
        <v>0</v>
      </c>
    </row>
    <row r="27" spans="1:3" x14ac:dyDescent="0.3">
      <c r="A27" t="s">
        <v>1071</v>
      </c>
      <c r="B27">
        <v>1</v>
      </c>
      <c r="C27">
        <v>0</v>
      </c>
    </row>
    <row r="28" spans="1:3" x14ac:dyDescent="0.3">
      <c r="A28" t="s">
        <v>545</v>
      </c>
      <c r="B28">
        <v>1</v>
      </c>
      <c r="C28">
        <v>0</v>
      </c>
    </row>
    <row r="29" spans="1:3" x14ac:dyDescent="0.3">
      <c r="A29" t="s">
        <v>1718</v>
      </c>
      <c r="B29">
        <v>0</v>
      </c>
      <c r="C29">
        <v>1</v>
      </c>
    </row>
    <row r="30" spans="1:3" x14ac:dyDescent="0.3">
      <c r="A30" t="s">
        <v>442</v>
      </c>
      <c r="B30">
        <v>4</v>
      </c>
      <c r="C30">
        <v>14</v>
      </c>
    </row>
    <row r="31" spans="1:3" x14ac:dyDescent="0.3">
      <c r="A31" t="s">
        <v>381</v>
      </c>
      <c r="B31">
        <v>16</v>
      </c>
      <c r="C31">
        <v>7</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C6C30-9316-4EA1-A411-9DBDD0F59883}">
  <sheetPr codeName="Sheet12"/>
  <dimension ref="A1:C12"/>
  <sheetViews>
    <sheetView workbookViewId="0">
      <selection sqref="A1:XFD1"/>
    </sheetView>
  </sheetViews>
  <sheetFormatPr defaultRowHeight="14.4" x14ac:dyDescent="0.3"/>
  <cols>
    <col min="1" max="1" width="17" bestFit="1" customWidth="1"/>
    <col min="2" max="2" width="5.6640625" bestFit="1" customWidth="1"/>
    <col min="3" max="3" width="9.6640625" bestFit="1" customWidth="1"/>
  </cols>
  <sheetData>
    <row r="1" spans="1:3" s="9" customFormat="1" x14ac:dyDescent="0.3">
      <c r="A1" s="8" t="s">
        <v>2767</v>
      </c>
    </row>
    <row r="2" spans="1:3" s="5" customFormat="1" x14ac:dyDescent="0.3">
      <c r="A2" s="5" t="s">
        <v>2761</v>
      </c>
      <c r="B2" s="5" t="s">
        <v>107</v>
      </c>
      <c r="C2" s="5" t="s">
        <v>2759</v>
      </c>
    </row>
    <row r="3" spans="1:3" x14ac:dyDescent="0.3">
      <c r="A3" t="s">
        <v>95</v>
      </c>
      <c r="B3">
        <v>6</v>
      </c>
      <c r="C3">
        <v>267</v>
      </c>
    </row>
    <row r="4" spans="1:3" x14ac:dyDescent="0.3">
      <c r="A4" t="s">
        <v>186</v>
      </c>
      <c r="B4">
        <v>53</v>
      </c>
      <c r="C4">
        <v>107</v>
      </c>
    </row>
    <row r="5" spans="1:3" x14ac:dyDescent="0.3">
      <c r="A5" t="s">
        <v>248</v>
      </c>
      <c r="B5">
        <v>15</v>
      </c>
      <c r="C5">
        <v>92</v>
      </c>
    </row>
    <row r="6" spans="1:3" x14ac:dyDescent="0.3">
      <c r="A6" t="s">
        <v>119</v>
      </c>
      <c r="B6">
        <v>21</v>
      </c>
      <c r="C6">
        <v>63</v>
      </c>
    </row>
    <row r="7" spans="1:3" x14ac:dyDescent="0.3">
      <c r="A7" t="s">
        <v>150</v>
      </c>
      <c r="B7">
        <v>24</v>
      </c>
      <c r="C7">
        <v>45</v>
      </c>
    </row>
    <row r="8" spans="1:3" x14ac:dyDescent="0.3">
      <c r="A8" t="s">
        <v>103</v>
      </c>
      <c r="B8">
        <v>38</v>
      </c>
      <c r="C8">
        <v>30</v>
      </c>
    </row>
    <row r="9" spans="1:3" x14ac:dyDescent="0.3">
      <c r="A9" t="s">
        <v>221</v>
      </c>
      <c r="B9">
        <v>0</v>
      </c>
      <c r="C9">
        <v>27</v>
      </c>
    </row>
    <row r="10" spans="1:3" x14ac:dyDescent="0.3">
      <c r="A10" t="s">
        <v>222</v>
      </c>
      <c r="B10">
        <v>1</v>
      </c>
      <c r="C10">
        <v>10</v>
      </c>
    </row>
    <row r="11" spans="1:3" x14ac:dyDescent="0.3">
      <c r="A11" t="s">
        <v>852</v>
      </c>
      <c r="B11">
        <v>2</v>
      </c>
      <c r="C11">
        <v>1</v>
      </c>
    </row>
    <row r="12" spans="1:3" x14ac:dyDescent="0.3">
      <c r="A12" t="s">
        <v>381</v>
      </c>
      <c r="B12">
        <v>5</v>
      </c>
      <c r="C12">
        <v>2</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BAD7B-DC4C-4583-AD17-E904FE950C45}">
  <sheetPr codeName="Sheet13"/>
  <dimension ref="A1:B12"/>
  <sheetViews>
    <sheetView workbookViewId="0">
      <selection sqref="A1:XFD1"/>
    </sheetView>
  </sheetViews>
  <sheetFormatPr defaultRowHeight="14.4" x14ac:dyDescent="0.3"/>
  <cols>
    <col min="1" max="1" width="12.88671875" bestFit="1" customWidth="1"/>
    <col min="2" max="2" width="42.21875" bestFit="1" customWidth="1"/>
  </cols>
  <sheetData>
    <row r="1" spans="1:2" s="9" customFormat="1" x14ac:dyDescent="0.3">
      <c r="A1" s="8" t="s">
        <v>2768</v>
      </c>
    </row>
    <row r="2" spans="1:2" s="5" customFormat="1" x14ac:dyDescent="0.3">
      <c r="A2" s="5" t="s">
        <v>2751</v>
      </c>
      <c r="B2" s="5" t="s">
        <v>2769</v>
      </c>
    </row>
    <row r="3" spans="1:2" x14ac:dyDescent="0.3">
      <c r="A3">
        <v>2010</v>
      </c>
      <c r="B3">
        <v>80.06183</v>
      </c>
    </row>
    <row r="4" spans="1:2" x14ac:dyDescent="0.3">
      <c r="A4" s="7" t="s">
        <v>2815</v>
      </c>
    </row>
    <row r="5" spans="1:2" x14ac:dyDescent="0.3">
      <c r="A5">
        <v>2012</v>
      </c>
      <c r="B5">
        <v>81.846900000000005</v>
      </c>
    </row>
    <row r="6" spans="1:2" x14ac:dyDescent="0.3">
      <c r="A6">
        <v>2013</v>
      </c>
      <c r="B6">
        <v>71.894750000000002</v>
      </c>
    </row>
    <row r="7" spans="1:2" x14ac:dyDescent="0.3">
      <c r="A7">
        <v>2014</v>
      </c>
      <c r="B7">
        <v>68.597290000000001</v>
      </c>
    </row>
    <row r="8" spans="1:2" x14ac:dyDescent="0.3">
      <c r="A8">
        <v>2015</v>
      </c>
      <c r="B8">
        <v>74.376019999999997</v>
      </c>
    </row>
    <row r="9" spans="1:2" x14ac:dyDescent="0.3">
      <c r="A9">
        <v>2016</v>
      </c>
      <c r="B9">
        <v>78.684839999999994</v>
      </c>
    </row>
    <row r="10" spans="1:2" x14ac:dyDescent="0.3">
      <c r="A10">
        <v>2017</v>
      </c>
      <c r="B10">
        <v>77.889259999999993</v>
      </c>
    </row>
    <row r="11" spans="1:2" x14ac:dyDescent="0.3">
      <c r="A11">
        <v>2018</v>
      </c>
      <c r="B11">
        <v>77.213899999999995</v>
      </c>
    </row>
    <row r="12" spans="1:2" x14ac:dyDescent="0.3">
      <c r="A12">
        <v>2019</v>
      </c>
      <c r="B12">
        <v>78.494209999999995</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A465-46DB-4655-AED9-09FBFD0AF5F5}">
  <sheetPr codeName="Sheet14"/>
  <dimension ref="A1:B12"/>
  <sheetViews>
    <sheetView workbookViewId="0">
      <selection sqref="A1:XFD1"/>
    </sheetView>
  </sheetViews>
  <sheetFormatPr defaultRowHeight="14.4" x14ac:dyDescent="0.3"/>
  <cols>
    <col min="1" max="1" width="12.88671875" bestFit="1" customWidth="1"/>
    <col min="2" max="2" width="45.33203125" bestFit="1" customWidth="1"/>
  </cols>
  <sheetData>
    <row r="1" spans="1:2" s="9" customFormat="1" x14ac:dyDescent="0.3">
      <c r="A1" s="8" t="s">
        <v>2770</v>
      </c>
    </row>
    <row r="2" spans="1:2" s="5" customFormat="1" x14ac:dyDescent="0.3">
      <c r="A2" s="5" t="s">
        <v>2751</v>
      </c>
      <c r="B2" s="5" t="s">
        <v>2771</v>
      </c>
    </row>
    <row r="3" spans="1:2" x14ac:dyDescent="0.3">
      <c r="A3">
        <v>2010</v>
      </c>
      <c r="B3">
        <v>38.85</v>
      </c>
    </row>
    <row r="4" spans="1:2" x14ac:dyDescent="0.3">
      <c r="A4" s="7" t="s">
        <v>2815</v>
      </c>
    </row>
    <row r="5" spans="1:2" x14ac:dyDescent="0.3">
      <c r="A5">
        <v>2012</v>
      </c>
      <c r="B5">
        <v>37.267139999999998</v>
      </c>
    </row>
    <row r="6" spans="1:2" x14ac:dyDescent="0.3">
      <c r="A6">
        <v>2013</v>
      </c>
      <c r="B6">
        <v>39.776859999999999</v>
      </c>
    </row>
    <row r="7" spans="1:2" x14ac:dyDescent="0.3">
      <c r="A7">
        <v>2014</v>
      </c>
      <c r="B7">
        <v>38.182470000000002</v>
      </c>
    </row>
    <row r="8" spans="1:2" x14ac:dyDescent="0.3">
      <c r="A8">
        <v>2015</v>
      </c>
      <c r="B8">
        <v>46.484479999999998</v>
      </c>
    </row>
    <row r="9" spans="1:2" x14ac:dyDescent="0.3">
      <c r="A9">
        <v>2016</v>
      </c>
      <c r="B9">
        <v>48.85521</v>
      </c>
    </row>
    <row r="10" spans="1:2" x14ac:dyDescent="0.3">
      <c r="A10">
        <v>2017</v>
      </c>
      <c r="B10">
        <v>50.738050000000001</v>
      </c>
    </row>
    <row r="11" spans="1:2" x14ac:dyDescent="0.3">
      <c r="A11">
        <v>2018</v>
      </c>
      <c r="B11">
        <v>56.818449999999999</v>
      </c>
    </row>
    <row r="12" spans="1:2" x14ac:dyDescent="0.3">
      <c r="A12">
        <v>2019</v>
      </c>
      <c r="B12">
        <v>64.17192</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21FF5-BE2E-4668-8641-EC29E7B068A5}">
  <sheetPr codeName="Sheet15"/>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2772</v>
      </c>
    </row>
    <row r="2" spans="1:3" s="5" customFormat="1" x14ac:dyDescent="0.3">
      <c r="A2" s="5" t="s">
        <v>2751</v>
      </c>
      <c r="B2" s="5" t="s">
        <v>107</v>
      </c>
      <c r="C2" s="5" t="s">
        <v>2752</v>
      </c>
    </row>
    <row r="3" spans="1:3" x14ac:dyDescent="0.3">
      <c r="A3">
        <v>2010</v>
      </c>
      <c r="B3">
        <v>17</v>
      </c>
      <c r="C3">
        <v>172</v>
      </c>
    </row>
    <row r="4" spans="1:3" x14ac:dyDescent="0.3">
      <c r="A4">
        <v>2011</v>
      </c>
      <c r="B4">
        <v>15</v>
      </c>
      <c r="C4">
        <v>183</v>
      </c>
    </row>
    <row r="5" spans="1:3" x14ac:dyDescent="0.3">
      <c r="A5">
        <v>2012</v>
      </c>
      <c r="B5">
        <v>18</v>
      </c>
      <c r="C5">
        <v>205</v>
      </c>
    </row>
    <row r="6" spans="1:3" x14ac:dyDescent="0.3">
      <c r="A6">
        <v>2013</v>
      </c>
      <c r="B6">
        <v>15</v>
      </c>
      <c r="C6">
        <v>170</v>
      </c>
    </row>
    <row r="7" spans="1:3" x14ac:dyDescent="0.3">
      <c r="A7">
        <v>2014</v>
      </c>
      <c r="B7">
        <v>21</v>
      </c>
      <c r="C7">
        <v>163</v>
      </c>
    </row>
    <row r="8" spans="1:3" x14ac:dyDescent="0.3">
      <c r="A8">
        <v>2015</v>
      </c>
      <c r="B8">
        <v>14</v>
      </c>
      <c r="C8">
        <v>142</v>
      </c>
    </row>
    <row r="9" spans="1:3" x14ac:dyDescent="0.3">
      <c r="A9">
        <v>2016</v>
      </c>
      <c r="B9">
        <v>19</v>
      </c>
      <c r="C9">
        <v>184</v>
      </c>
    </row>
    <row r="10" spans="1:3" x14ac:dyDescent="0.3">
      <c r="A10">
        <v>2017</v>
      </c>
      <c r="B10">
        <v>20</v>
      </c>
      <c r="C10">
        <v>192</v>
      </c>
    </row>
    <row r="11" spans="1:3" x14ac:dyDescent="0.3">
      <c r="A11">
        <v>2018</v>
      </c>
      <c r="B11">
        <v>15</v>
      </c>
      <c r="C11">
        <v>202</v>
      </c>
    </row>
    <row r="12" spans="1:3" x14ac:dyDescent="0.3">
      <c r="A12">
        <v>2019</v>
      </c>
      <c r="B12">
        <v>15</v>
      </c>
      <c r="C12">
        <v>195</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DAC04-D430-4A3C-9446-7D4F05A110EB}">
  <sheetPr codeName="Sheet16"/>
  <dimension ref="A1:C12"/>
  <sheetViews>
    <sheetView workbookViewId="0">
      <selection sqref="A1:XFD1"/>
    </sheetView>
  </sheetViews>
  <sheetFormatPr defaultRowHeight="14.4" x14ac:dyDescent="0.3"/>
  <cols>
    <col min="1" max="1" width="12.88671875" bestFit="1" customWidth="1"/>
    <col min="2" max="3" width="12" bestFit="1" customWidth="1"/>
  </cols>
  <sheetData>
    <row r="1" spans="1:3" s="9" customFormat="1" x14ac:dyDescent="0.3">
      <c r="A1" s="8" t="s">
        <v>2773</v>
      </c>
    </row>
    <row r="2" spans="1:3" s="5" customFormat="1" x14ac:dyDescent="0.3">
      <c r="A2" s="5" t="s">
        <v>2751</v>
      </c>
      <c r="B2" s="5" t="s">
        <v>107</v>
      </c>
      <c r="C2" s="5" t="s">
        <v>2752</v>
      </c>
    </row>
    <row r="3" spans="1:3" x14ac:dyDescent="0.3">
      <c r="A3">
        <v>2010</v>
      </c>
      <c r="B3">
        <v>0.43758043758043758</v>
      </c>
      <c r="C3">
        <v>4.4272844272844267</v>
      </c>
    </row>
    <row r="4" spans="1:3" x14ac:dyDescent="0.3">
      <c r="A4" s="7" t="s">
        <v>2815</v>
      </c>
    </row>
    <row r="5" spans="1:3" x14ac:dyDescent="0.3">
      <c r="A5">
        <v>2012</v>
      </c>
      <c r="B5">
        <v>0.48299923203122108</v>
      </c>
      <c r="C5">
        <v>5.5008245870222403</v>
      </c>
    </row>
    <row r="6" spans="1:3" x14ac:dyDescent="0.3">
      <c r="A6">
        <v>2013</v>
      </c>
      <c r="B6">
        <v>0.37710367283893198</v>
      </c>
      <c r="C6">
        <v>4.2738416255078961</v>
      </c>
    </row>
    <row r="7" spans="1:3" x14ac:dyDescent="0.3">
      <c r="A7">
        <v>2014</v>
      </c>
      <c r="B7">
        <v>0.54999061087457146</v>
      </c>
      <c r="C7">
        <v>4.2689747415502453</v>
      </c>
    </row>
    <row r="8" spans="1:3" x14ac:dyDescent="0.3">
      <c r="A8">
        <v>2015</v>
      </c>
      <c r="B8">
        <v>0.30117579028527375</v>
      </c>
      <c r="C8">
        <v>3.0547830157506333</v>
      </c>
    </row>
    <row r="9" spans="1:3" x14ac:dyDescent="0.3">
      <c r="A9">
        <v>2016</v>
      </c>
      <c r="B9">
        <v>0.36843562846214356</v>
      </c>
      <c r="C9">
        <v>3.7457622226984593</v>
      </c>
    </row>
    <row r="10" spans="1:3" x14ac:dyDescent="0.3">
      <c r="A10">
        <v>2017</v>
      </c>
      <c r="B10">
        <v>0.39418148706936901</v>
      </c>
      <c r="C10">
        <v>3.7841422758659427</v>
      </c>
    </row>
    <row r="11" spans="1:3" x14ac:dyDescent="0.3">
      <c r="A11">
        <v>2018</v>
      </c>
      <c r="B11">
        <v>0.26399875392588146</v>
      </c>
      <c r="C11">
        <v>3.5551832195352038</v>
      </c>
    </row>
    <row r="12" spans="1:3" x14ac:dyDescent="0.3">
      <c r="A12">
        <v>2019</v>
      </c>
      <c r="B12">
        <v>0.23374709686105699</v>
      </c>
      <c r="C12">
        <v>3.038712259193741</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F51E-3F13-4EE8-860A-E3B0E5E606F0}">
  <sheetPr codeName="Sheet17"/>
  <dimension ref="A1:C22"/>
  <sheetViews>
    <sheetView workbookViewId="0">
      <selection sqref="A1:XFD1"/>
    </sheetView>
  </sheetViews>
  <sheetFormatPr defaultRowHeight="14.4" x14ac:dyDescent="0.3"/>
  <cols>
    <col min="1" max="1" width="34.5546875" bestFit="1" customWidth="1"/>
    <col min="2" max="2" width="5.6640625" bestFit="1" customWidth="1"/>
    <col min="3" max="3" width="9.6640625" bestFit="1" customWidth="1"/>
  </cols>
  <sheetData>
    <row r="1" spans="1:3" s="9" customFormat="1" x14ac:dyDescent="0.3">
      <c r="A1" s="8" t="s">
        <v>2774</v>
      </c>
    </row>
    <row r="2" spans="1:3" s="5" customFormat="1" x14ac:dyDescent="0.3">
      <c r="A2" s="5" t="s">
        <v>2758</v>
      </c>
      <c r="B2" s="5" t="s">
        <v>107</v>
      </c>
      <c r="C2" s="5" t="s">
        <v>2759</v>
      </c>
    </row>
    <row r="3" spans="1:3" x14ac:dyDescent="0.3">
      <c r="A3" t="s">
        <v>94</v>
      </c>
      <c r="B3">
        <v>0</v>
      </c>
      <c r="C3">
        <v>52</v>
      </c>
    </row>
    <row r="4" spans="1:3" x14ac:dyDescent="0.3">
      <c r="A4" t="s">
        <v>102</v>
      </c>
      <c r="B4">
        <v>9</v>
      </c>
      <c r="C4">
        <v>30</v>
      </c>
    </row>
    <row r="5" spans="1:3" x14ac:dyDescent="0.3">
      <c r="A5" t="s">
        <v>109</v>
      </c>
      <c r="B5">
        <v>0</v>
      </c>
      <c r="C5">
        <v>34</v>
      </c>
    </row>
    <row r="6" spans="1:3" x14ac:dyDescent="0.3">
      <c r="A6" t="s">
        <v>159</v>
      </c>
      <c r="B6">
        <v>2</v>
      </c>
      <c r="C6">
        <v>19</v>
      </c>
    </row>
    <row r="7" spans="1:3" x14ac:dyDescent="0.3">
      <c r="A7" t="s">
        <v>118</v>
      </c>
      <c r="B7">
        <v>1</v>
      </c>
      <c r="C7">
        <v>8</v>
      </c>
    </row>
    <row r="8" spans="1:3" x14ac:dyDescent="0.3">
      <c r="A8" t="s">
        <v>220</v>
      </c>
      <c r="B8">
        <v>0</v>
      </c>
      <c r="C8">
        <v>8</v>
      </c>
    </row>
    <row r="9" spans="1:3" x14ac:dyDescent="0.3">
      <c r="A9" t="s">
        <v>247</v>
      </c>
      <c r="B9">
        <v>0</v>
      </c>
      <c r="C9">
        <v>7</v>
      </c>
    </row>
    <row r="10" spans="1:3" x14ac:dyDescent="0.3">
      <c r="A10" t="s">
        <v>411</v>
      </c>
      <c r="B10">
        <v>0</v>
      </c>
      <c r="C10">
        <v>5</v>
      </c>
    </row>
    <row r="11" spans="1:3" x14ac:dyDescent="0.3">
      <c r="A11" t="s">
        <v>139</v>
      </c>
      <c r="B11">
        <v>0</v>
      </c>
      <c r="C11">
        <v>4</v>
      </c>
    </row>
    <row r="12" spans="1:3" x14ac:dyDescent="0.3">
      <c r="A12" t="s">
        <v>287</v>
      </c>
      <c r="B12">
        <v>0</v>
      </c>
      <c r="C12">
        <v>3</v>
      </c>
    </row>
    <row r="13" spans="1:3" x14ac:dyDescent="0.3">
      <c r="A13" t="s">
        <v>279</v>
      </c>
      <c r="B13">
        <v>1</v>
      </c>
      <c r="C13">
        <v>1</v>
      </c>
    </row>
    <row r="14" spans="1:3" x14ac:dyDescent="0.3">
      <c r="A14" t="s">
        <v>229</v>
      </c>
      <c r="B14">
        <v>0</v>
      </c>
      <c r="C14">
        <v>2</v>
      </c>
    </row>
    <row r="15" spans="1:3" x14ac:dyDescent="0.3">
      <c r="A15" t="s">
        <v>1262</v>
      </c>
      <c r="B15">
        <v>0</v>
      </c>
      <c r="C15">
        <v>2</v>
      </c>
    </row>
    <row r="16" spans="1:3" x14ac:dyDescent="0.3">
      <c r="A16" t="s">
        <v>542</v>
      </c>
      <c r="B16">
        <v>0</v>
      </c>
      <c r="C16">
        <v>2</v>
      </c>
    </row>
    <row r="17" spans="1:3" x14ac:dyDescent="0.3">
      <c r="A17" t="s">
        <v>545</v>
      </c>
      <c r="B17">
        <v>1</v>
      </c>
      <c r="C17">
        <v>0</v>
      </c>
    </row>
    <row r="18" spans="1:3" x14ac:dyDescent="0.3">
      <c r="A18" t="s">
        <v>332</v>
      </c>
      <c r="B18">
        <v>0</v>
      </c>
      <c r="C18">
        <v>1</v>
      </c>
    </row>
    <row r="19" spans="1:3" x14ac:dyDescent="0.3">
      <c r="A19" t="s">
        <v>587</v>
      </c>
      <c r="B19">
        <v>0</v>
      </c>
      <c r="C19">
        <v>1</v>
      </c>
    </row>
    <row r="20" spans="1:3" x14ac:dyDescent="0.3">
      <c r="A20" t="s">
        <v>769</v>
      </c>
      <c r="B20">
        <v>0</v>
      </c>
      <c r="C20">
        <v>1</v>
      </c>
    </row>
    <row r="21" spans="1:3" x14ac:dyDescent="0.3">
      <c r="A21" t="s">
        <v>749</v>
      </c>
      <c r="B21">
        <v>0</v>
      </c>
      <c r="C21">
        <v>1</v>
      </c>
    </row>
    <row r="22" spans="1:3" x14ac:dyDescent="0.3">
      <c r="A22" t="s">
        <v>381</v>
      </c>
      <c r="B22">
        <v>1</v>
      </c>
      <c r="C22">
        <v>3</v>
      </c>
    </row>
  </sheetData>
  <mergeCells count="1">
    <mergeCell ref="A1:XF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4D48-E5D3-4B5F-BC04-21A338B7563D}">
  <sheetPr codeName="Sheet18"/>
  <dimension ref="A1:C11"/>
  <sheetViews>
    <sheetView workbookViewId="0">
      <selection sqref="A1:XFD1"/>
    </sheetView>
  </sheetViews>
  <sheetFormatPr defaultRowHeight="14.4" x14ac:dyDescent="0.3"/>
  <cols>
    <col min="1" max="1" width="17" bestFit="1" customWidth="1"/>
    <col min="2" max="2" width="5.6640625" bestFit="1" customWidth="1"/>
    <col min="3" max="3" width="9.6640625" bestFit="1" customWidth="1"/>
  </cols>
  <sheetData>
    <row r="1" spans="1:3" s="9" customFormat="1" x14ac:dyDescent="0.3">
      <c r="A1" s="8" t="s">
        <v>2775</v>
      </c>
    </row>
    <row r="2" spans="1:3" s="5" customFormat="1" x14ac:dyDescent="0.3">
      <c r="A2" s="5" t="s">
        <v>2761</v>
      </c>
      <c r="B2" s="5" t="s">
        <v>107</v>
      </c>
      <c r="C2" s="5" t="s">
        <v>2759</v>
      </c>
    </row>
    <row r="3" spans="1:3" x14ac:dyDescent="0.3">
      <c r="A3" t="s">
        <v>95</v>
      </c>
      <c r="B3">
        <v>2</v>
      </c>
      <c r="C3">
        <v>84</v>
      </c>
    </row>
    <row r="4" spans="1:3" x14ac:dyDescent="0.3">
      <c r="A4" t="s">
        <v>248</v>
      </c>
      <c r="B4">
        <v>0</v>
      </c>
      <c r="C4">
        <v>34</v>
      </c>
    </row>
    <row r="5" spans="1:3" x14ac:dyDescent="0.3">
      <c r="A5" t="s">
        <v>119</v>
      </c>
      <c r="B5">
        <v>3</v>
      </c>
      <c r="C5">
        <v>20</v>
      </c>
    </row>
    <row r="6" spans="1:3" x14ac:dyDescent="0.3">
      <c r="A6" t="s">
        <v>103</v>
      </c>
      <c r="B6">
        <v>1</v>
      </c>
      <c r="C6">
        <v>13</v>
      </c>
    </row>
    <row r="7" spans="1:3" x14ac:dyDescent="0.3">
      <c r="A7" t="s">
        <v>221</v>
      </c>
      <c r="B7">
        <v>0</v>
      </c>
      <c r="C7">
        <v>14</v>
      </c>
    </row>
    <row r="8" spans="1:3" x14ac:dyDescent="0.3">
      <c r="A8" t="s">
        <v>150</v>
      </c>
      <c r="B8">
        <v>9</v>
      </c>
      <c r="C8">
        <v>4</v>
      </c>
    </row>
    <row r="9" spans="1:3" x14ac:dyDescent="0.3">
      <c r="A9" t="s">
        <v>186</v>
      </c>
      <c r="B9">
        <v>0</v>
      </c>
      <c r="C9">
        <v>10</v>
      </c>
    </row>
    <row r="10" spans="1:3" x14ac:dyDescent="0.3">
      <c r="A10" t="s">
        <v>852</v>
      </c>
      <c r="B10">
        <v>0</v>
      </c>
      <c r="C10">
        <v>3</v>
      </c>
    </row>
    <row r="11" spans="1:3" x14ac:dyDescent="0.3">
      <c r="A11" t="s">
        <v>222</v>
      </c>
      <c r="B11">
        <v>0</v>
      </c>
      <c r="C11">
        <v>2</v>
      </c>
    </row>
  </sheetData>
  <mergeCells count="1">
    <mergeCell ref="A1:XF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5BC3-4CDA-4BA0-807D-1AE7C50702A8}">
  <sheetPr codeName="Sheet19"/>
  <dimension ref="A1:B12"/>
  <sheetViews>
    <sheetView workbookViewId="0">
      <selection sqref="A1:XFD1"/>
    </sheetView>
  </sheetViews>
  <sheetFormatPr defaultRowHeight="14.4" x14ac:dyDescent="0.3"/>
  <cols>
    <col min="1" max="1" width="12.88671875" bestFit="1" customWidth="1"/>
    <col min="2" max="2" width="42.21875" bestFit="1" customWidth="1"/>
  </cols>
  <sheetData>
    <row r="1" spans="1:2" s="9" customFormat="1" x14ac:dyDescent="0.3">
      <c r="A1" s="8" t="s">
        <v>2776</v>
      </c>
    </row>
    <row r="2" spans="1:2" s="5" customFormat="1" x14ac:dyDescent="0.3">
      <c r="A2" s="5" t="s">
        <v>2751</v>
      </c>
      <c r="B2" s="5" t="s">
        <v>2777</v>
      </c>
    </row>
    <row r="3" spans="1:2" x14ac:dyDescent="0.3">
      <c r="A3">
        <v>2010</v>
      </c>
      <c r="B3">
        <v>23.87</v>
      </c>
    </row>
    <row r="4" spans="1:2" x14ac:dyDescent="0.3">
      <c r="A4" s="7" t="s">
        <v>2815</v>
      </c>
    </row>
    <row r="5" spans="1:2" x14ac:dyDescent="0.3">
      <c r="A5">
        <v>2012</v>
      </c>
      <c r="B5">
        <v>21.263960000000001</v>
      </c>
    </row>
    <row r="6" spans="1:2" x14ac:dyDescent="0.3">
      <c r="A6">
        <v>2013</v>
      </c>
      <c r="B6">
        <v>17.166119999999999</v>
      </c>
    </row>
    <row r="7" spans="1:2" x14ac:dyDescent="0.3">
      <c r="A7">
        <v>2014</v>
      </c>
      <c r="B7">
        <v>17.44557</v>
      </c>
    </row>
    <row r="8" spans="1:2" x14ac:dyDescent="0.3">
      <c r="A8">
        <v>2015</v>
      </c>
      <c r="B8">
        <v>18.387730000000001</v>
      </c>
    </row>
    <row r="9" spans="1:2" x14ac:dyDescent="0.3">
      <c r="A9">
        <v>2016</v>
      </c>
      <c r="B9">
        <v>17.788399999999999</v>
      </c>
    </row>
    <row r="10" spans="1:2" x14ac:dyDescent="0.3">
      <c r="A10">
        <v>2017</v>
      </c>
      <c r="B10">
        <v>19.06493</v>
      </c>
    </row>
    <row r="11" spans="1:2" x14ac:dyDescent="0.3">
      <c r="A11">
        <v>2018</v>
      </c>
      <c r="B11">
        <v>16.94727</v>
      </c>
    </row>
    <row r="12" spans="1:2" x14ac:dyDescent="0.3">
      <c r="A12">
        <v>2019</v>
      </c>
      <c r="B12">
        <v>16.348189999999999</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0B82-86F6-45C2-890D-A6B4028FE3E2}">
  <sheetPr codeName="Sheet2"/>
  <dimension ref="A1:V1236"/>
  <sheetViews>
    <sheetView workbookViewId="0">
      <selection sqref="A1:XFD1"/>
    </sheetView>
  </sheetViews>
  <sheetFormatPr defaultRowHeight="14.4" x14ac:dyDescent="0.3"/>
  <cols>
    <col min="1" max="1" width="12.6640625" bestFit="1" customWidth="1"/>
    <col min="2" max="2" width="14" bestFit="1" customWidth="1"/>
    <col min="3" max="3" width="12.33203125" bestFit="1" customWidth="1"/>
    <col min="4" max="4" width="23.33203125" bestFit="1" customWidth="1"/>
    <col min="5" max="5" width="14" bestFit="1" customWidth="1"/>
    <col min="6" max="6" width="17.21875" bestFit="1" customWidth="1"/>
    <col min="7" max="7" width="10.6640625" bestFit="1" customWidth="1"/>
    <col min="8" max="8" width="11.6640625" bestFit="1" customWidth="1"/>
    <col min="9" max="9" width="11.5546875" bestFit="1" customWidth="1"/>
    <col min="10" max="10" width="13.44140625" bestFit="1" customWidth="1"/>
    <col min="11" max="11" width="16.6640625" bestFit="1" customWidth="1"/>
    <col min="12" max="12" width="14.33203125" bestFit="1" customWidth="1"/>
    <col min="13" max="13" width="12.6640625" bestFit="1" customWidth="1"/>
    <col min="14" max="14" width="17" bestFit="1" customWidth="1"/>
    <col min="15" max="15" width="28.6640625" bestFit="1" customWidth="1"/>
    <col min="16" max="16" width="18.33203125" bestFit="1" customWidth="1"/>
    <col min="17" max="17" width="17.21875" bestFit="1" customWidth="1"/>
    <col min="18" max="18" width="15.77734375" bestFit="1" customWidth="1"/>
    <col min="19" max="19" width="19.77734375" bestFit="1" customWidth="1"/>
    <col min="20" max="20" width="34.5546875" bestFit="1" customWidth="1"/>
    <col min="21" max="21" width="18.88671875" bestFit="1" customWidth="1"/>
    <col min="22" max="22" width="13" bestFit="1" customWidth="1"/>
  </cols>
  <sheetData>
    <row r="1" spans="1:22" s="9" customFormat="1" x14ac:dyDescent="0.3">
      <c r="A1" s="8" t="s">
        <v>61</v>
      </c>
    </row>
    <row r="2" spans="1:22" s="5" customFormat="1" x14ac:dyDescent="0.3">
      <c r="A2" s="5" t="s">
        <v>62</v>
      </c>
      <c r="B2" s="5" t="s">
        <v>63</v>
      </c>
      <c r="C2" s="5" t="s">
        <v>64</v>
      </c>
      <c r="D2" s="5" t="s">
        <v>65</v>
      </c>
      <c r="E2" s="5" t="s">
        <v>66</v>
      </c>
      <c r="F2" s="5" t="s">
        <v>67</v>
      </c>
      <c r="G2" s="5" t="s">
        <v>68</v>
      </c>
      <c r="H2" s="5" t="s">
        <v>69</v>
      </c>
      <c r="I2" s="5" t="s">
        <v>70</v>
      </c>
      <c r="J2" s="5" t="s">
        <v>71</v>
      </c>
      <c r="K2" s="5" t="s">
        <v>72</v>
      </c>
      <c r="L2" s="5" t="s">
        <v>73</v>
      </c>
      <c r="M2" s="5" t="s">
        <v>74</v>
      </c>
      <c r="N2" s="5" t="s">
        <v>75</v>
      </c>
      <c r="O2" s="5" t="s">
        <v>76</v>
      </c>
      <c r="P2" s="5" t="s">
        <v>77</v>
      </c>
      <c r="Q2" s="5" t="s">
        <v>78</v>
      </c>
      <c r="R2" s="5" t="s">
        <v>79</v>
      </c>
      <c r="S2" s="5" t="s">
        <v>80</v>
      </c>
      <c r="T2" s="5" t="s">
        <v>81</v>
      </c>
      <c r="U2" s="5" t="s">
        <v>82</v>
      </c>
      <c r="V2" s="5" t="s">
        <v>83</v>
      </c>
    </row>
    <row r="3" spans="1:22" x14ac:dyDescent="0.3">
      <c r="A3" t="s">
        <v>84</v>
      </c>
      <c r="B3" s="6" t="str">
        <f>HYPERLINK("http://data.ntsb.gov/carol-repgen/api/Aviation/ReportMain/GenerateNewestReport/98922/pdf","AccidentReport")</f>
        <v>AccidentReport</v>
      </c>
      <c r="C3" t="s">
        <v>85</v>
      </c>
      <c r="D3" t="s">
        <v>86</v>
      </c>
      <c r="E3" t="s">
        <v>87</v>
      </c>
      <c r="F3" t="s">
        <v>88</v>
      </c>
      <c r="G3">
        <v>45.227499999999999</v>
      </c>
      <c r="H3">
        <v>-96.004446999999999</v>
      </c>
      <c r="K3" t="s">
        <v>89</v>
      </c>
      <c r="L3">
        <v>1</v>
      </c>
      <c r="M3" t="s">
        <v>90</v>
      </c>
      <c r="N3" t="s">
        <v>91</v>
      </c>
      <c r="O3" t="s">
        <v>92</v>
      </c>
      <c r="S3" t="s">
        <v>93</v>
      </c>
      <c r="T3" t="s">
        <v>94</v>
      </c>
      <c r="U3" t="s">
        <v>95</v>
      </c>
    </row>
    <row r="4" spans="1:22" x14ac:dyDescent="0.3">
      <c r="A4" t="s">
        <v>96</v>
      </c>
      <c r="B4" s="6" t="str">
        <f>HYPERLINK("http://data.ntsb.gov/carol-repgen/api/Aviation/ReportMain/GenerateNewestReport/98861/pdf","AccidentReport")</f>
        <v>AccidentReport</v>
      </c>
      <c r="C4" t="s">
        <v>85</v>
      </c>
      <c r="D4" t="s">
        <v>97</v>
      </c>
      <c r="E4" t="s">
        <v>98</v>
      </c>
      <c r="F4" t="s">
        <v>88</v>
      </c>
      <c r="G4">
        <v>27.5</v>
      </c>
      <c r="H4">
        <v>-82.746664999999993</v>
      </c>
      <c r="J4">
        <v>1</v>
      </c>
      <c r="K4" t="s">
        <v>99</v>
      </c>
      <c r="L4">
        <v>1</v>
      </c>
      <c r="M4" t="s">
        <v>90</v>
      </c>
      <c r="N4" t="s">
        <v>100</v>
      </c>
      <c r="O4" t="s">
        <v>92</v>
      </c>
      <c r="S4" t="s">
        <v>101</v>
      </c>
      <c r="T4" t="s">
        <v>102</v>
      </c>
      <c r="U4" t="s">
        <v>103</v>
      </c>
    </row>
    <row r="5" spans="1:22" x14ac:dyDescent="0.3">
      <c r="A5" t="s">
        <v>104</v>
      </c>
      <c r="B5" s="6" t="str">
        <f>HYPERLINK("http://data.ntsb.gov/carol-repgen/api/Aviation/ReportMain/GenerateNewestReport/98824/pdf","AccidentReport")</f>
        <v>AccidentReport</v>
      </c>
      <c r="C5" t="s">
        <v>85</v>
      </c>
      <c r="D5" t="s">
        <v>105</v>
      </c>
      <c r="E5" t="s">
        <v>106</v>
      </c>
      <c r="F5" t="s">
        <v>88</v>
      </c>
      <c r="G5">
        <v>38.600833000000002</v>
      </c>
      <c r="H5">
        <v>-121.503334</v>
      </c>
      <c r="I5">
        <v>1</v>
      </c>
      <c r="K5" t="s">
        <v>107</v>
      </c>
      <c r="L5">
        <v>1</v>
      </c>
      <c r="M5" t="s">
        <v>90</v>
      </c>
      <c r="N5" t="s">
        <v>91</v>
      </c>
      <c r="O5" t="s">
        <v>92</v>
      </c>
      <c r="S5" t="s">
        <v>108</v>
      </c>
      <c r="T5" t="s">
        <v>109</v>
      </c>
      <c r="U5" t="s">
        <v>95</v>
      </c>
    </row>
    <row r="6" spans="1:22" x14ac:dyDescent="0.3">
      <c r="A6" t="s">
        <v>110</v>
      </c>
      <c r="B6" s="6" t="str">
        <f>HYPERLINK("http://data.ntsb.gov/carol-repgen/api/Aviation/ReportMain/GenerateNewestReport/98825/pdf","AccidentReport")</f>
        <v>AccidentReport</v>
      </c>
      <c r="C6" t="s">
        <v>85</v>
      </c>
      <c r="D6" t="s">
        <v>111</v>
      </c>
      <c r="E6" t="s">
        <v>112</v>
      </c>
      <c r="F6" t="s">
        <v>88</v>
      </c>
      <c r="G6">
        <v>46.289164999999997</v>
      </c>
      <c r="H6">
        <v>-111.519447</v>
      </c>
      <c r="J6">
        <v>2</v>
      </c>
      <c r="K6" t="s">
        <v>99</v>
      </c>
      <c r="L6">
        <v>1</v>
      </c>
      <c r="M6" t="s">
        <v>90</v>
      </c>
      <c r="N6" t="s">
        <v>91</v>
      </c>
      <c r="O6" t="s">
        <v>92</v>
      </c>
      <c r="S6" t="s">
        <v>108</v>
      </c>
      <c r="T6" t="s">
        <v>113</v>
      </c>
      <c r="U6" t="s">
        <v>103</v>
      </c>
    </row>
    <row r="7" spans="1:22" x14ac:dyDescent="0.3">
      <c r="A7" t="s">
        <v>114</v>
      </c>
      <c r="B7" s="6" t="str">
        <f>HYPERLINK("http://data.ntsb.gov/carol-repgen/api/Aviation/ReportMain/GenerateNewestReport/98862/pdf","AccidentReport")</f>
        <v>AccidentReport</v>
      </c>
      <c r="C7" t="s">
        <v>115</v>
      </c>
      <c r="D7" t="s">
        <v>116</v>
      </c>
      <c r="E7" t="s">
        <v>117</v>
      </c>
      <c r="F7" t="s">
        <v>88</v>
      </c>
      <c r="G7">
        <v>41</v>
      </c>
      <c r="H7">
        <v>-75</v>
      </c>
      <c r="K7" t="s">
        <v>89</v>
      </c>
      <c r="L7">
        <v>1</v>
      </c>
      <c r="M7" t="s">
        <v>90</v>
      </c>
      <c r="N7" t="s">
        <v>91</v>
      </c>
      <c r="O7" t="s">
        <v>92</v>
      </c>
      <c r="S7" t="s">
        <v>93</v>
      </c>
      <c r="T7" t="s">
        <v>118</v>
      </c>
      <c r="U7" t="s">
        <v>119</v>
      </c>
    </row>
    <row r="8" spans="1:22" x14ac:dyDescent="0.3">
      <c r="A8" t="s">
        <v>120</v>
      </c>
      <c r="B8" s="6" t="str">
        <f>HYPERLINK("http://data.ntsb.gov/carol-repgen/api/Aviation/ReportMain/GenerateNewestReport/98853/pdf","AccidentReport")</f>
        <v>AccidentReport</v>
      </c>
      <c r="C8" t="s">
        <v>115</v>
      </c>
      <c r="D8" t="s">
        <v>121</v>
      </c>
      <c r="E8" t="s">
        <v>122</v>
      </c>
      <c r="F8" t="s">
        <v>88</v>
      </c>
      <c r="G8">
        <v>42.461944000000003</v>
      </c>
      <c r="H8">
        <v>-111.702224</v>
      </c>
      <c r="K8" t="s">
        <v>89</v>
      </c>
      <c r="L8">
        <v>1</v>
      </c>
      <c r="M8" t="s">
        <v>90</v>
      </c>
      <c r="N8" t="s">
        <v>100</v>
      </c>
      <c r="O8" t="s">
        <v>92</v>
      </c>
      <c r="S8" t="s">
        <v>108</v>
      </c>
      <c r="T8" t="s">
        <v>113</v>
      </c>
      <c r="U8" t="s">
        <v>103</v>
      </c>
    </row>
    <row r="9" spans="1:22" x14ac:dyDescent="0.3">
      <c r="A9" t="s">
        <v>123</v>
      </c>
      <c r="B9" s="6" t="str">
        <f>HYPERLINK("http://data.ntsb.gov/carol-repgen/api/Aviation/ReportMain/GenerateNewestReport/98826/pdf","AccidentReport")</f>
        <v>AccidentReport</v>
      </c>
      <c r="C9" t="s">
        <v>115</v>
      </c>
      <c r="D9" t="s">
        <v>124</v>
      </c>
      <c r="E9" t="s">
        <v>125</v>
      </c>
      <c r="F9" t="s">
        <v>88</v>
      </c>
      <c r="G9">
        <v>34.653331000000001</v>
      </c>
      <c r="H9">
        <v>-112.41999800000001</v>
      </c>
      <c r="K9" t="s">
        <v>89</v>
      </c>
      <c r="L9">
        <v>1</v>
      </c>
      <c r="M9" t="s">
        <v>90</v>
      </c>
      <c r="N9" t="s">
        <v>91</v>
      </c>
      <c r="O9" t="s">
        <v>92</v>
      </c>
      <c r="S9" t="s">
        <v>108</v>
      </c>
      <c r="T9" t="s">
        <v>94</v>
      </c>
      <c r="U9" t="s">
        <v>95</v>
      </c>
    </row>
    <row r="10" spans="1:22" x14ac:dyDescent="0.3">
      <c r="A10" t="s">
        <v>126</v>
      </c>
      <c r="B10" s="6" t="str">
        <f>HYPERLINK("http://data.ntsb.gov/carol-repgen/api/Aviation/ReportMain/GenerateNewestReport/98920/pdf","AccidentReport")</f>
        <v>AccidentReport</v>
      </c>
      <c r="C10" t="s">
        <v>115</v>
      </c>
      <c r="D10" t="s">
        <v>127</v>
      </c>
      <c r="E10" t="s">
        <v>128</v>
      </c>
      <c r="F10" t="s">
        <v>88</v>
      </c>
      <c r="G10">
        <v>35.094721999999997</v>
      </c>
      <c r="H10">
        <v>-106.16444300000001</v>
      </c>
      <c r="K10" t="s">
        <v>89</v>
      </c>
      <c r="L10">
        <v>1</v>
      </c>
      <c r="M10" t="s">
        <v>90</v>
      </c>
      <c r="N10" t="s">
        <v>91</v>
      </c>
      <c r="O10" t="s">
        <v>92</v>
      </c>
      <c r="S10" t="s">
        <v>108</v>
      </c>
      <c r="T10" t="s">
        <v>94</v>
      </c>
      <c r="U10" t="s">
        <v>95</v>
      </c>
    </row>
    <row r="11" spans="1:22" x14ac:dyDescent="0.3">
      <c r="A11" t="s">
        <v>129</v>
      </c>
      <c r="B11" s="6" t="str">
        <f>HYPERLINK("http://data.ntsb.gov/carol-repgen/api/Aviation/ReportMain/GenerateNewestReport/98921/pdf","AccidentReport")</f>
        <v>AccidentReport</v>
      </c>
      <c r="C11" t="s">
        <v>115</v>
      </c>
      <c r="D11" t="s">
        <v>130</v>
      </c>
      <c r="E11" t="s">
        <v>131</v>
      </c>
      <c r="F11" t="s">
        <v>88</v>
      </c>
      <c r="G11">
        <v>40.164164999999997</v>
      </c>
      <c r="H11">
        <v>-105.163612</v>
      </c>
      <c r="K11" t="s">
        <v>89</v>
      </c>
      <c r="L11">
        <v>1</v>
      </c>
      <c r="M11" t="s">
        <v>90</v>
      </c>
      <c r="N11" t="s">
        <v>91</v>
      </c>
      <c r="O11" t="s">
        <v>92</v>
      </c>
      <c r="S11" t="s">
        <v>108</v>
      </c>
      <c r="T11" t="s">
        <v>94</v>
      </c>
      <c r="U11" t="s">
        <v>95</v>
      </c>
    </row>
    <row r="12" spans="1:22" x14ac:dyDescent="0.3">
      <c r="A12" t="s">
        <v>132</v>
      </c>
      <c r="B12" s="6" t="str">
        <f>HYPERLINK("http://data.ntsb.gov/carol-repgen/api/Aviation/ReportMain/GenerateNewestReport/98827/pdf","AccidentReport")</f>
        <v>AccidentReport</v>
      </c>
      <c r="C12" t="s">
        <v>133</v>
      </c>
      <c r="D12" t="s">
        <v>134</v>
      </c>
      <c r="E12" t="s">
        <v>125</v>
      </c>
      <c r="F12" t="s">
        <v>88</v>
      </c>
      <c r="G12">
        <v>32.954444000000002</v>
      </c>
      <c r="H12">
        <v>-111.765556</v>
      </c>
      <c r="J12">
        <v>1</v>
      </c>
      <c r="K12" t="s">
        <v>99</v>
      </c>
      <c r="L12">
        <v>1</v>
      </c>
      <c r="M12" t="s">
        <v>90</v>
      </c>
      <c r="N12" t="s">
        <v>91</v>
      </c>
      <c r="O12" t="s">
        <v>92</v>
      </c>
      <c r="S12" t="s">
        <v>108</v>
      </c>
      <c r="T12" t="s">
        <v>94</v>
      </c>
      <c r="U12" t="s">
        <v>95</v>
      </c>
    </row>
    <row r="13" spans="1:22" x14ac:dyDescent="0.3">
      <c r="A13" t="s">
        <v>135</v>
      </c>
      <c r="B13" s="6" t="str">
        <f>HYPERLINK("http://data.ntsb.gov/carol-repgen/api/Aviation/ReportMain/GenerateNewestReport/98875/pdf","AccidentReport")</f>
        <v>AccidentReport</v>
      </c>
      <c r="C13" t="s">
        <v>136</v>
      </c>
      <c r="D13" t="s">
        <v>137</v>
      </c>
      <c r="E13" t="s">
        <v>138</v>
      </c>
      <c r="F13" t="s">
        <v>88</v>
      </c>
      <c r="G13">
        <v>42.969164999999997</v>
      </c>
      <c r="H13">
        <v>-83.755279000000002</v>
      </c>
      <c r="I13">
        <v>0</v>
      </c>
      <c r="J13">
        <v>0</v>
      </c>
      <c r="K13" t="s">
        <v>89</v>
      </c>
      <c r="L13">
        <v>1</v>
      </c>
      <c r="M13" t="s">
        <v>90</v>
      </c>
      <c r="N13" t="s">
        <v>91</v>
      </c>
      <c r="O13" t="s">
        <v>92</v>
      </c>
      <c r="S13" t="s">
        <v>108</v>
      </c>
      <c r="T13" t="s">
        <v>139</v>
      </c>
      <c r="U13" t="s">
        <v>119</v>
      </c>
    </row>
    <row r="14" spans="1:22" x14ac:dyDescent="0.3">
      <c r="A14" t="s">
        <v>140</v>
      </c>
      <c r="B14" s="6" t="str">
        <f>HYPERLINK("http://data.ntsb.gov/carol-repgen/api/Aviation/ReportMain/GenerateNewestReport/98895/pdf","AccidentReport")</f>
        <v>AccidentReport</v>
      </c>
      <c r="C14" t="s">
        <v>136</v>
      </c>
      <c r="D14" t="s">
        <v>141</v>
      </c>
      <c r="E14" t="s">
        <v>142</v>
      </c>
      <c r="F14" t="s">
        <v>88</v>
      </c>
      <c r="G14">
        <v>41.391109</v>
      </c>
      <c r="H14">
        <v>-83.630279000000002</v>
      </c>
      <c r="K14" t="s">
        <v>89</v>
      </c>
      <c r="L14">
        <v>1</v>
      </c>
      <c r="M14" t="s">
        <v>90</v>
      </c>
      <c r="N14" t="s">
        <v>91</v>
      </c>
      <c r="O14" t="s">
        <v>92</v>
      </c>
      <c r="S14" t="s">
        <v>93</v>
      </c>
      <c r="T14" t="s">
        <v>94</v>
      </c>
      <c r="U14" t="s">
        <v>95</v>
      </c>
    </row>
    <row r="15" spans="1:22" x14ac:dyDescent="0.3">
      <c r="A15" t="s">
        <v>143</v>
      </c>
      <c r="B15" s="6" t="str">
        <f>HYPERLINK("http://data.ntsb.gov/carol-repgen/api/Aviation/ReportMain/GenerateNewestReport/98857/pdf","AccidentReport")</f>
        <v>AccidentReport</v>
      </c>
      <c r="C15" t="s">
        <v>144</v>
      </c>
      <c r="D15" t="s">
        <v>145</v>
      </c>
      <c r="E15" t="s">
        <v>146</v>
      </c>
      <c r="F15" t="s">
        <v>88</v>
      </c>
      <c r="G15">
        <v>35.328609</v>
      </c>
      <c r="H15">
        <v>-85.055556999999993</v>
      </c>
      <c r="I15">
        <v>2</v>
      </c>
      <c r="K15" t="s">
        <v>107</v>
      </c>
      <c r="L15">
        <v>1</v>
      </c>
      <c r="M15" t="s">
        <v>147</v>
      </c>
      <c r="N15" t="s">
        <v>91</v>
      </c>
      <c r="O15" t="s">
        <v>92</v>
      </c>
      <c r="S15" t="s">
        <v>108</v>
      </c>
      <c r="T15" t="s">
        <v>102</v>
      </c>
      <c r="U15" t="s">
        <v>103</v>
      </c>
    </row>
    <row r="16" spans="1:22" x14ac:dyDescent="0.3">
      <c r="A16" t="s">
        <v>148</v>
      </c>
      <c r="B16" s="6" t="str">
        <f>HYPERLINK("http://data.ntsb.gov/carol-repgen/api/Aviation/ReportMain/GenerateNewestReport/98828/pdf","AccidentReport")</f>
        <v>AccidentReport</v>
      </c>
      <c r="C16" t="s">
        <v>144</v>
      </c>
      <c r="D16" t="s">
        <v>149</v>
      </c>
      <c r="E16" t="s">
        <v>106</v>
      </c>
      <c r="F16" t="s">
        <v>88</v>
      </c>
      <c r="G16">
        <v>39.153056999999997</v>
      </c>
      <c r="H16">
        <v>-122.01999600000001</v>
      </c>
      <c r="I16">
        <v>2</v>
      </c>
      <c r="K16" t="s">
        <v>107</v>
      </c>
      <c r="L16">
        <v>1</v>
      </c>
      <c r="M16" t="s">
        <v>147</v>
      </c>
      <c r="N16" t="s">
        <v>91</v>
      </c>
      <c r="O16" t="s">
        <v>92</v>
      </c>
      <c r="S16" t="s">
        <v>108</v>
      </c>
      <c r="T16" t="s">
        <v>102</v>
      </c>
      <c r="U16" t="s">
        <v>150</v>
      </c>
    </row>
    <row r="17" spans="1:21" x14ac:dyDescent="0.3">
      <c r="A17" t="s">
        <v>151</v>
      </c>
      <c r="B17" s="6" t="str">
        <f>HYPERLINK("http://data.ntsb.gov/carol-repgen/api/Aviation/ReportMain/GenerateNewestReport/98883/pdf","AccidentReport")</f>
        <v>AccidentReport</v>
      </c>
      <c r="C17" t="s">
        <v>152</v>
      </c>
      <c r="D17" t="s">
        <v>153</v>
      </c>
      <c r="E17" t="s">
        <v>154</v>
      </c>
      <c r="F17" t="s">
        <v>88</v>
      </c>
      <c r="G17">
        <v>29.210277000000001</v>
      </c>
      <c r="H17">
        <v>-99.743056999999993</v>
      </c>
      <c r="K17" t="s">
        <v>155</v>
      </c>
      <c r="L17">
        <v>1</v>
      </c>
      <c r="M17" t="s">
        <v>90</v>
      </c>
      <c r="N17" t="s">
        <v>100</v>
      </c>
      <c r="O17" t="s">
        <v>92</v>
      </c>
      <c r="S17" t="s">
        <v>93</v>
      </c>
      <c r="T17" t="s">
        <v>102</v>
      </c>
      <c r="U17" t="s">
        <v>150</v>
      </c>
    </row>
    <row r="18" spans="1:21" x14ac:dyDescent="0.3">
      <c r="A18" t="s">
        <v>156</v>
      </c>
      <c r="B18" s="6" t="str">
        <f>HYPERLINK("http://data.ntsb.gov/carol-repgen/api/Aviation/ReportMain/GenerateNewestReport/98888/pdf","AccidentReport")</f>
        <v>AccidentReport</v>
      </c>
      <c r="C18" t="s">
        <v>157</v>
      </c>
      <c r="D18" t="s">
        <v>158</v>
      </c>
      <c r="E18" t="s">
        <v>154</v>
      </c>
      <c r="F18" t="s">
        <v>88</v>
      </c>
      <c r="G18">
        <v>28.67</v>
      </c>
      <c r="H18">
        <v>-96.680830999999998</v>
      </c>
      <c r="K18" t="s">
        <v>89</v>
      </c>
      <c r="L18">
        <v>1</v>
      </c>
      <c r="M18" t="s">
        <v>90</v>
      </c>
      <c r="N18" t="s">
        <v>91</v>
      </c>
      <c r="O18" t="s">
        <v>92</v>
      </c>
      <c r="S18" t="s">
        <v>108</v>
      </c>
      <c r="T18" t="s">
        <v>159</v>
      </c>
      <c r="U18" t="s">
        <v>119</v>
      </c>
    </row>
    <row r="19" spans="1:21" x14ac:dyDescent="0.3">
      <c r="A19" t="s">
        <v>160</v>
      </c>
      <c r="B19" s="6" t="str">
        <f>HYPERLINK("http://data.ntsb.gov/carol-repgen/api/Aviation/ReportMain/GenerateNewestReport/98885/pdf","AccidentReport")</f>
        <v>AccidentReport</v>
      </c>
      <c r="C19" t="s">
        <v>161</v>
      </c>
      <c r="D19" t="s">
        <v>162</v>
      </c>
      <c r="E19" t="s">
        <v>128</v>
      </c>
      <c r="F19" t="s">
        <v>88</v>
      </c>
      <c r="G19">
        <v>34.618887999999998</v>
      </c>
      <c r="H19">
        <v>-106.832778</v>
      </c>
      <c r="K19" t="s">
        <v>89</v>
      </c>
      <c r="L19">
        <v>1</v>
      </c>
      <c r="M19" t="s">
        <v>90</v>
      </c>
      <c r="N19" t="s">
        <v>100</v>
      </c>
      <c r="O19" t="s">
        <v>92</v>
      </c>
      <c r="S19" t="s">
        <v>108</v>
      </c>
      <c r="T19" t="s">
        <v>102</v>
      </c>
      <c r="U19" t="s">
        <v>103</v>
      </c>
    </row>
    <row r="20" spans="1:21" x14ac:dyDescent="0.3">
      <c r="A20" t="s">
        <v>163</v>
      </c>
      <c r="B20" s="6" t="str">
        <f>HYPERLINK("http://data.ntsb.gov/carol-repgen/api/Aviation/ReportMain/GenerateNewestReport/98887/pdf","AccidentReport")</f>
        <v>AccidentReport</v>
      </c>
      <c r="C20" t="s">
        <v>161</v>
      </c>
      <c r="D20" t="s">
        <v>164</v>
      </c>
      <c r="E20" t="s">
        <v>165</v>
      </c>
      <c r="F20" t="s">
        <v>88</v>
      </c>
      <c r="G20">
        <v>36.725276000000001</v>
      </c>
      <c r="H20">
        <v>-97.101943000000006</v>
      </c>
      <c r="K20" t="s">
        <v>89</v>
      </c>
      <c r="L20">
        <v>1</v>
      </c>
      <c r="M20" t="s">
        <v>90</v>
      </c>
      <c r="N20" t="s">
        <v>100</v>
      </c>
      <c r="O20" t="s">
        <v>92</v>
      </c>
      <c r="S20" t="s">
        <v>166</v>
      </c>
      <c r="T20" t="s">
        <v>94</v>
      </c>
      <c r="U20" t="s">
        <v>95</v>
      </c>
    </row>
    <row r="21" spans="1:21" x14ac:dyDescent="0.3">
      <c r="A21" t="s">
        <v>167</v>
      </c>
      <c r="B21" s="6" t="str">
        <f>HYPERLINK("http://data.ntsb.gov/carol-repgen/api/Aviation/ReportMain/GenerateNewestReport/98832/pdf","AccidentReport")</f>
        <v>AccidentReport</v>
      </c>
      <c r="C21" t="s">
        <v>161</v>
      </c>
      <c r="D21" t="s">
        <v>168</v>
      </c>
      <c r="E21" t="s">
        <v>125</v>
      </c>
      <c r="F21" t="s">
        <v>88</v>
      </c>
      <c r="G21">
        <v>32.619444999999999</v>
      </c>
      <c r="H21">
        <v>-114.64555300000001</v>
      </c>
      <c r="J21">
        <v>1</v>
      </c>
      <c r="K21" t="s">
        <v>99</v>
      </c>
      <c r="L21">
        <v>1</v>
      </c>
      <c r="M21" t="s">
        <v>90</v>
      </c>
      <c r="N21" t="s">
        <v>100</v>
      </c>
      <c r="O21" t="s">
        <v>169</v>
      </c>
      <c r="S21" t="s">
        <v>170</v>
      </c>
      <c r="T21" t="s">
        <v>113</v>
      </c>
      <c r="U21" t="s">
        <v>103</v>
      </c>
    </row>
    <row r="22" spans="1:21" x14ac:dyDescent="0.3">
      <c r="A22" t="s">
        <v>171</v>
      </c>
      <c r="B22" s="6" t="str">
        <f>HYPERLINK("http://data.ntsb.gov/carol-repgen/api/Aviation/ReportMain/GenerateNewestReport/98838/pdf","AccidentReport")</f>
        <v>AccidentReport</v>
      </c>
      <c r="C22" t="s">
        <v>172</v>
      </c>
      <c r="D22" t="s">
        <v>153</v>
      </c>
      <c r="E22" t="s">
        <v>154</v>
      </c>
      <c r="F22" t="s">
        <v>88</v>
      </c>
      <c r="G22">
        <v>29.461389</v>
      </c>
      <c r="H22">
        <v>-100.114166</v>
      </c>
      <c r="K22" t="s">
        <v>89</v>
      </c>
      <c r="L22">
        <v>1</v>
      </c>
      <c r="M22" t="s">
        <v>90</v>
      </c>
      <c r="N22" t="s">
        <v>91</v>
      </c>
      <c r="O22" t="s">
        <v>92</v>
      </c>
      <c r="S22" t="s">
        <v>173</v>
      </c>
      <c r="T22" t="s">
        <v>109</v>
      </c>
      <c r="U22" t="s">
        <v>95</v>
      </c>
    </row>
    <row r="23" spans="1:21" x14ac:dyDescent="0.3">
      <c r="A23" t="s">
        <v>174</v>
      </c>
      <c r="B23" s="6" t="str">
        <f>HYPERLINK("http://data.ntsb.gov/carol-repgen/api/Aviation/ReportMain/GenerateNewestReport/98833/pdf","AccidentReport")</f>
        <v>AccidentReport</v>
      </c>
      <c r="C23" t="s">
        <v>172</v>
      </c>
      <c r="D23" t="s">
        <v>175</v>
      </c>
      <c r="E23" t="s">
        <v>176</v>
      </c>
      <c r="F23" t="s">
        <v>88</v>
      </c>
      <c r="G23">
        <v>48.032501000000003</v>
      </c>
      <c r="H23">
        <v>-122.4375</v>
      </c>
      <c r="I23">
        <v>1</v>
      </c>
      <c r="J23">
        <v>1</v>
      </c>
      <c r="K23" t="s">
        <v>107</v>
      </c>
      <c r="L23">
        <v>1</v>
      </c>
      <c r="M23" t="s">
        <v>90</v>
      </c>
      <c r="N23" t="s">
        <v>91</v>
      </c>
      <c r="O23" t="s">
        <v>92</v>
      </c>
      <c r="S23" t="s">
        <v>108</v>
      </c>
      <c r="T23" t="s">
        <v>102</v>
      </c>
      <c r="U23" t="s">
        <v>119</v>
      </c>
    </row>
    <row r="24" spans="1:21" x14ac:dyDescent="0.3">
      <c r="A24" t="s">
        <v>177</v>
      </c>
      <c r="B24" s="6" t="str">
        <f>HYPERLINK("http://data.ntsb.gov/carol-repgen/api/Aviation/ReportMain/GenerateNewestReport/98836/pdf","AccidentReport")</f>
        <v>AccidentReport</v>
      </c>
      <c r="C24" t="s">
        <v>178</v>
      </c>
      <c r="D24" t="s">
        <v>179</v>
      </c>
      <c r="E24" t="s">
        <v>180</v>
      </c>
      <c r="F24" t="s">
        <v>88</v>
      </c>
      <c r="G24">
        <v>43.618609999999997</v>
      </c>
      <c r="H24">
        <v>-97.381111000000004</v>
      </c>
      <c r="I24">
        <v>1</v>
      </c>
      <c r="K24" t="s">
        <v>107</v>
      </c>
      <c r="L24">
        <v>1</v>
      </c>
      <c r="M24" t="s">
        <v>90</v>
      </c>
      <c r="N24" t="s">
        <v>91</v>
      </c>
      <c r="O24" t="s">
        <v>92</v>
      </c>
      <c r="S24" t="s">
        <v>108</v>
      </c>
      <c r="T24" t="s">
        <v>181</v>
      </c>
      <c r="U24" t="s">
        <v>103</v>
      </c>
    </row>
    <row r="25" spans="1:21" x14ac:dyDescent="0.3">
      <c r="A25" t="s">
        <v>182</v>
      </c>
      <c r="B25" s="6" t="str">
        <f>HYPERLINK("http://data.ntsb.gov/carol-repgen/api/Aviation/ReportMain/GenerateNewestReport/98884/pdf","AccidentReport")</f>
        <v>AccidentReport</v>
      </c>
      <c r="C25" t="s">
        <v>178</v>
      </c>
      <c r="D25" t="s">
        <v>183</v>
      </c>
      <c r="E25" t="s">
        <v>138</v>
      </c>
      <c r="F25" t="s">
        <v>88</v>
      </c>
      <c r="G25">
        <v>41.867778000000001</v>
      </c>
      <c r="H25">
        <v>-84.077224000000001</v>
      </c>
      <c r="K25" t="s">
        <v>155</v>
      </c>
      <c r="L25">
        <v>1</v>
      </c>
      <c r="M25" t="s">
        <v>90</v>
      </c>
      <c r="N25" t="s">
        <v>91</v>
      </c>
      <c r="O25" t="s">
        <v>92</v>
      </c>
      <c r="S25" t="s">
        <v>108</v>
      </c>
      <c r="T25" t="s">
        <v>159</v>
      </c>
      <c r="U25" t="s">
        <v>119</v>
      </c>
    </row>
    <row r="26" spans="1:21" x14ac:dyDescent="0.3">
      <c r="A26" t="s">
        <v>184</v>
      </c>
      <c r="B26" s="6" t="str">
        <f>HYPERLINK("http://data.ntsb.gov/carol-repgen/api/Aviation/ReportMain/GenerateNewestReport/98834/pdf","AccidentReport")</f>
        <v>AccidentReport</v>
      </c>
      <c r="C26" t="s">
        <v>178</v>
      </c>
      <c r="D26" t="s">
        <v>185</v>
      </c>
      <c r="E26" t="s">
        <v>125</v>
      </c>
      <c r="F26" t="s">
        <v>88</v>
      </c>
      <c r="G26">
        <v>35.101942999999999</v>
      </c>
      <c r="H26">
        <v>-113.88610799999999</v>
      </c>
      <c r="I26">
        <v>1</v>
      </c>
      <c r="J26">
        <v>1</v>
      </c>
      <c r="K26" t="s">
        <v>107</v>
      </c>
      <c r="L26">
        <v>1</v>
      </c>
      <c r="M26" t="s">
        <v>90</v>
      </c>
      <c r="N26" t="s">
        <v>91</v>
      </c>
      <c r="O26" t="s">
        <v>92</v>
      </c>
      <c r="S26" t="s">
        <v>108</v>
      </c>
      <c r="T26" t="s">
        <v>118</v>
      </c>
      <c r="U26" t="s">
        <v>186</v>
      </c>
    </row>
    <row r="27" spans="1:21" x14ac:dyDescent="0.3">
      <c r="A27" t="s">
        <v>187</v>
      </c>
      <c r="B27" s="6" t="str">
        <f>HYPERLINK("http://data.ntsb.gov/carol-repgen/api/Aviation/ReportMain/GenerateNewestReport/98835/pdf","AccidentReport")</f>
        <v>AccidentReport</v>
      </c>
      <c r="C27" t="s">
        <v>178</v>
      </c>
      <c r="D27" t="s">
        <v>188</v>
      </c>
      <c r="E27" t="s">
        <v>176</v>
      </c>
      <c r="F27" t="s">
        <v>88</v>
      </c>
      <c r="G27">
        <v>48.042220999999998</v>
      </c>
      <c r="H27">
        <v>-122.77471</v>
      </c>
      <c r="K27" t="s">
        <v>155</v>
      </c>
      <c r="L27">
        <v>1</v>
      </c>
      <c r="M27" t="s">
        <v>90</v>
      </c>
      <c r="N27" t="s">
        <v>91</v>
      </c>
      <c r="O27" t="s">
        <v>92</v>
      </c>
      <c r="S27" t="s">
        <v>108</v>
      </c>
      <c r="T27" t="s">
        <v>159</v>
      </c>
      <c r="U27" t="s">
        <v>186</v>
      </c>
    </row>
    <row r="28" spans="1:21" x14ac:dyDescent="0.3">
      <c r="A28" t="s">
        <v>189</v>
      </c>
      <c r="B28" s="6" t="str">
        <f>HYPERLINK("http://data.ntsb.gov/carol-repgen/api/Aviation/ReportMain/GenerateNewestReport/98837/pdf","AccidentReport")</f>
        <v>AccidentReport</v>
      </c>
      <c r="C28" t="s">
        <v>190</v>
      </c>
      <c r="D28" t="s">
        <v>191</v>
      </c>
      <c r="E28" t="s">
        <v>192</v>
      </c>
      <c r="F28" t="s">
        <v>88</v>
      </c>
      <c r="G28">
        <v>40.619444999999999</v>
      </c>
      <c r="H28">
        <v>-111.992774</v>
      </c>
      <c r="K28" t="s">
        <v>89</v>
      </c>
      <c r="L28">
        <v>1</v>
      </c>
      <c r="M28" t="s">
        <v>90</v>
      </c>
      <c r="N28" t="s">
        <v>91</v>
      </c>
      <c r="O28" t="s">
        <v>92</v>
      </c>
      <c r="S28" t="s">
        <v>108</v>
      </c>
      <c r="T28" t="s">
        <v>159</v>
      </c>
      <c r="U28" t="s">
        <v>119</v>
      </c>
    </row>
    <row r="29" spans="1:21" x14ac:dyDescent="0.3">
      <c r="A29" t="s">
        <v>193</v>
      </c>
      <c r="B29" s="6" t="str">
        <f>HYPERLINK("http://data.ntsb.gov/carol-repgen/api/Aviation/ReportMain/GenerateNewestReport/98843/pdf","AccidentReport")</f>
        <v>AccidentReport</v>
      </c>
      <c r="C29" t="s">
        <v>194</v>
      </c>
      <c r="D29" t="s">
        <v>111</v>
      </c>
      <c r="E29" t="s">
        <v>112</v>
      </c>
      <c r="F29" t="s">
        <v>88</v>
      </c>
      <c r="G29">
        <v>46.308055000000003</v>
      </c>
      <c r="H29">
        <v>-111.53778</v>
      </c>
      <c r="K29" t="s">
        <v>89</v>
      </c>
      <c r="L29">
        <v>1</v>
      </c>
      <c r="M29" t="s">
        <v>90</v>
      </c>
      <c r="N29" t="s">
        <v>91</v>
      </c>
      <c r="O29" t="s">
        <v>92</v>
      </c>
      <c r="S29" t="s">
        <v>108</v>
      </c>
      <c r="T29" t="s">
        <v>109</v>
      </c>
      <c r="U29" t="s">
        <v>95</v>
      </c>
    </row>
    <row r="30" spans="1:21" x14ac:dyDescent="0.3">
      <c r="A30" t="s">
        <v>195</v>
      </c>
      <c r="B30" s="6" t="str">
        <f>HYPERLINK("http://data.ntsb.gov/carol-repgen/api/Aviation/ReportMain/GenerateNewestReport/98840/pdf","AccidentReport")</f>
        <v>AccidentReport</v>
      </c>
      <c r="C30" t="s">
        <v>196</v>
      </c>
      <c r="D30" t="s">
        <v>197</v>
      </c>
      <c r="E30" t="s">
        <v>154</v>
      </c>
      <c r="F30" t="s">
        <v>88</v>
      </c>
      <c r="G30">
        <v>30.260555</v>
      </c>
      <c r="H30">
        <v>-98.906943999999996</v>
      </c>
      <c r="I30">
        <v>1</v>
      </c>
      <c r="K30" t="s">
        <v>107</v>
      </c>
      <c r="L30">
        <v>1</v>
      </c>
      <c r="M30" t="s">
        <v>147</v>
      </c>
      <c r="N30" t="s">
        <v>91</v>
      </c>
      <c r="O30" t="s">
        <v>92</v>
      </c>
      <c r="S30" t="s">
        <v>108</v>
      </c>
      <c r="T30" t="s">
        <v>159</v>
      </c>
      <c r="U30" t="s">
        <v>186</v>
      </c>
    </row>
    <row r="31" spans="1:21" x14ac:dyDescent="0.3">
      <c r="A31" t="s">
        <v>198</v>
      </c>
      <c r="B31" s="6" t="str">
        <f>HYPERLINK("http://data.ntsb.gov/carol-repgen/api/Aviation/ReportMain/GenerateNewestReport/98839/pdf","AccidentReport")</f>
        <v>AccidentReport</v>
      </c>
      <c r="C31" t="s">
        <v>196</v>
      </c>
      <c r="D31" t="s">
        <v>199</v>
      </c>
      <c r="E31" t="s">
        <v>176</v>
      </c>
      <c r="F31" t="s">
        <v>88</v>
      </c>
      <c r="G31">
        <v>46.947223000000001</v>
      </c>
      <c r="H31">
        <v>-120.51277899999999</v>
      </c>
      <c r="I31">
        <v>1</v>
      </c>
      <c r="K31" t="s">
        <v>107</v>
      </c>
      <c r="L31">
        <v>1</v>
      </c>
      <c r="M31" t="s">
        <v>147</v>
      </c>
      <c r="N31" t="s">
        <v>91</v>
      </c>
      <c r="O31" t="s">
        <v>92</v>
      </c>
      <c r="S31" t="s">
        <v>108</v>
      </c>
      <c r="T31" t="s">
        <v>102</v>
      </c>
      <c r="U31" t="s">
        <v>186</v>
      </c>
    </row>
    <row r="32" spans="1:21" x14ac:dyDescent="0.3">
      <c r="A32" t="s">
        <v>200</v>
      </c>
      <c r="B32" s="6" t="str">
        <f>HYPERLINK("http://data.ntsb.gov/carol-repgen/api/Aviation/ReportMain/GenerateNewestReport/98893/pdf","AccidentReport")</f>
        <v>AccidentReport</v>
      </c>
      <c r="C32" t="s">
        <v>201</v>
      </c>
      <c r="D32" t="s">
        <v>202</v>
      </c>
      <c r="E32" t="s">
        <v>203</v>
      </c>
      <c r="F32" t="s">
        <v>88</v>
      </c>
      <c r="G32">
        <v>45.606388000000003</v>
      </c>
      <c r="H32">
        <v>-88.109168999999994</v>
      </c>
      <c r="K32" t="s">
        <v>155</v>
      </c>
      <c r="L32">
        <v>1</v>
      </c>
      <c r="M32" t="s">
        <v>90</v>
      </c>
      <c r="N32" t="s">
        <v>91</v>
      </c>
      <c r="O32" t="s">
        <v>92</v>
      </c>
      <c r="S32" t="s">
        <v>108</v>
      </c>
      <c r="T32" t="s">
        <v>159</v>
      </c>
      <c r="U32" t="s">
        <v>186</v>
      </c>
    </row>
    <row r="33" spans="1:21" x14ac:dyDescent="0.3">
      <c r="A33" t="s">
        <v>204</v>
      </c>
      <c r="B33" s="6" t="str">
        <f>HYPERLINK("http://data.ntsb.gov/carol-repgen/api/Aviation/ReportMain/GenerateNewestReport/98897/pdf","AccidentReport")</f>
        <v>AccidentReport</v>
      </c>
      <c r="C33" t="s">
        <v>201</v>
      </c>
      <c r="D33" t="s">
        <v>205</v>
      </c>
      <c r="E33" t="s">
        <v>206</v>
      </c>
      <c r="F33" t="s">
        <v>88</v>
      </c>
      <c r="G33">
        <v>36.437221000000001</v>
      </c>
      <c r="H33">
        <v>-79.851112000000001</v>
      </c>
      <c r="K33" t="s">
        <v>155</v>
      </c>
      <c r="L33">
        <v>1</v>
      </c>
      <c r="M33" t="s">
        <v>90</v>
      </c>
      <c r="N33" t="s">
        <v>91</v>
      </c>
      <c r="O33" t="s">
        <v>92</v>
      </c>
      <c r="S33" t="s">
        <v>108</v>
      </c>
      <c r="T33" t="s">
        <v>109</v>
      </c>
      <c r="U33" t="s">
        <v>95</v>
      </c>
    </row>
    <row r="34" spans="1:21" x14ac:dyDescent="0.3">
      <c r="A34" t="s">
        <v>207</v>
      </c>
      <c r="B34" s="6" t="str">
        <f>HYPERLINK("http://data.ntsb.gov/carol-repgen/api/Aviation/ReportMain/GenerateNewestReport/98880/pdf","AccidentReport")</f>
        <v>AccidentReport</v>
      </c>
      <c r="C34" t="s">
        <v>208</v>
      </c>
      <c r="D34" t="s">
        <v>209</v>
      </c>
      <c r="E34" t="s">
        <v>138</v>
      </c>
      <c r="F34" t="s">
        <v>88</v>
      </c>
      <c r="G34">
        <v>45.830001000000003</v>
      </c>
      <c r="H34">
        <v>-87.980002999999996</v>
      </c>
      <c r="K34" t="s">
        <v>155</v>
      </c>
      <c r="L34">
        <v>1</v>
      </c>
      <c r="M34" t="s">
        <v>90</v>
      </c>
      <c r="N34" t="s">
        <v>91</v>
      </c>
      <c r="O34" t="s">
        <v>92</v>
      </c>
      <c r="S34" t="s">
        <v>108</v>
      </c>
      <c r="T34" t="s">
        <v>102</v>
      </c>
      <c r="U34" t="s">
        <v>103</v>
      </c>
    </row>
    <row r="35" spans="1:21" x14ac:dyDescent="0.3">
      <c r="A35" t="s">
        <v>210</v>
      </c>
      <c r="B35" s="6" t="str">
        <f>HYPERLINK("http://data.ntsb.gov/carol-repgen/api/Aviation/ReportMain/GenerateNewestReport/98878/pdf","AccidentReport")</f>
        <v>AccidentReport</v>
      </c>
      <c r="C35" t="s">
        <v>208</v>
      </c>
      <c r="D35" t="s">
        <v>211</v>
      </c>
      <c r="E35" t="s">
        <v>203</v>
      </c>
      <c r="F35" t="s">
        <v>88</v>
      </c>
      <c r="G35">
        <v>44.996386999999999</v>
      </c>
      <c r="H35">
        <v>-88.603613999999993</v>
      </c>
      <c r="J35">
        <v>1</v>
      </c>
      <c r="K35" t="s">
        <v>99</v>
      </c>
      <c r="L35">
        <v>1</v>
      </c>
      <c r="M35" t="s">
        <v>90</v>
      </c>
      <c r="N35" t="s">
        <v>91</v>
      </c>
      <c r="O35" t="s">
        <v>92</v>
      </c>
      <c r="S35" t="s">
        <v>108</v>
      </c>
      <c r="T35" t="s">
        <v>159</v>
      </c>
      <c r="U35" t="s">
        <v>186</v>
      </c>
    </row>
    <row r="36" spans="1:21" x14ac:dyDescent="0.3">
      <c r="A36" t="s">
        <v>212</v>
      </c>
      <c r="B36" s="6" t="str">
        <f>HYPERLINK("http://data.ntsb.gov/carol-repgen/api/Aviation/ReportMain/GenerateNewestReport/98931/pdf","AccidentReport")</f>
        <v>AccidentReport</v>
      </c>
      <c r="C36" t="s">
        <v>208</v>
      </c>
      <c r="D36" t="s">
        <v>213</v>
      </c>
      <c r="E36" t="s">
        <v>98</v>
      </c>
      <c r="F36" t="s">
        <v>88</v>
      </c>
      <c r="G36">
        <v>25.647499</v>
      </c>
      <c r="H36">
        <v>-80.433334000000002</v>
      </c>
      <c r="K36" t="s">
        <v>89</v>
      </c>
      <c r="L36">
        <v>1</v>
      </c>
      <c r="M36" t="s">
        <v>90</v>
      </c>
      <c r="N36" t="s">
        <v>91</v>
      </c>
      <c r="O36" t="s">
        <v>92</v>
      </c>
      <c r="S36" t="s">
        <v>93</v>
      </c>
      <c r="T36" t="s">
        <v>94</v>
      </c>
      <c r="U36" t="s">
        <v>95</v>
      </c>
    </row>
    <row r="37" spans="1:21" x14ac:dyDescent="0.3">
      <c r="A37" t="s">
        <v>214</v>
      </c>
      <c r="B37" s="6" t="str">
        <f>HYPERLINK("http://data.ntsb.gov/carol-repgen/api/Aviation/ReportMain/GenerateNewestReport/98841/pdf","AccidentReport")</f>
        <v>AccidentReport</v>
      </c>
      <c r="C37" t="s">
        <v>208</v>
      </c>
      <c r="D37" t="s">
        <v>215</v>
      </c>
      <c r="E37" t="s">
        <v>106</v>
      </c>
      <c r="F37" t="s">
        <v>88</v>
      </c>
      <c r="G37">
        <v>33.975276000000001</v>
      </c>
      <c r="H37">
        <v>-117.635276</v>
      </c>
      <c r="K37" t="s">
        <v>155</v>
      </c>
      <c r="L37">
        <v>1</v>
      </c>
      <c r="M37" t="s">
        <v>90</v>
      </c>
      <c r="N37" t="s">
        <v>91</v>
      </c>
      <c r="O37" t="s">
        <v>92</v>
      </c>
      <c r="S37" t="s">
        <v>108</v>
      </c>
      <c r="T37" t="s">
        <v>94</v>
      </c>
      <c r="U37" t="s">
        <v>95</v>
      </c>
    </row>
    <row r="38" spans="1:21" x14ac:dyDescent="0.3">
      <c r="A38" t="s">
        <v>216</v>
      </c>
      <c r="B38" s="6" t="str">
        <f>HYPERLINK("http://data.ntsb.gov/carol-repgen/api/Aviation/ReportMain/GenerateNewestReport/98844/pdf","AccidentReport")</f>
        <v>AccidentReport</v>
      </c>
      <c r="C38" t="s">
        <v>208</v>
      </c>
      <c r="D38" t="s">
        <v>217</v>
      </c>
      <c r="E38" t="s">
        <v>125</v>
      </c>
      <c r="F38" t="s">
        <v>88</v>
      </c>
      <c r="G38">
        <v>32.829166000000001</v>
      </c>
      <c r="H38">
        <v>-113.990554</v>
      </c>
      <c r="K38" t="s">
        <v>89</v>
      </c>
      <c r="L38">
        <v>1</v>
      </c>
      <c r="M38" t="s">
        <v>90</v>
      </c>
      <c r="N38" t="s">
        <v>91</v>
      </c>
      <c r="O38" t="s">
        <v>92</v>
      </c>
      <c r="S38" t="s">
        <v>108</v>
      </c>
      <c r="T38" t="s">
        <v>159</v>
      </c>
      <c r="U38" t="s">
        <v>186</v>
      </c>
    </row>
    <row r="39" spans="1:21" x14ac:dyDescent="0.3">
      <c r="A39" t="s">
        <v>218</v>
      </c>
      <c r="B39" s="6" t="str">
        <f>HYPERLINK("http://data.ntsb.gov/carol-repgen/api/Aviation/ReportMain/GenerateNewestReport/98842/pdf","AccidentReport")</f>
        <v>AccidentReport</v>
      </c>
      <c r="C39" t="s">
        <v>208</v>
      </c>
      <c r="D39" t="s">
        <v>219</v>
      </c>
      <c r="E39" t="s">
        <v>106</v>
      </c>
      <c r="F39" t="s">
        <v>88</v>
      </c>
      <c r="G39">
        <v>33.801386999999998</v>
      </c>
      <c r="H39">
        <v>-118.34194100000001</v>
      </c>
      <c r="K39" t="s">
        <v>155</v>
      </c>
      <c r="L39">
        <v>1</v>
      </c>
      <c r="M39" t="s">
        <v>155</v>
      </c>
      <c r="N39" t="s">
        <v>91</v>
      </c>
      <c r="O39" t="s">
        <v>92</v>
      </c>
      <c r="S39" t="s">
        <v>108</v>
      </c>
      <c r="T39" t="s">
        <v>220</v>
      </c>
      <c r="U39" t="s">
        <v>221</v>
      </c>
    </row>
    <row r="40" spans="1:21" x14ac:dyDescent="0.3">
      <c r="A40" t="s">
        <v>218</v>
      </c>
      <c r="B40" s="6" t="str">
        <f>HYPERLINK("http://data.ntsb.gov/carol-repgen/api/Aviation/ReportMain/GenerateNewestReport/98842/pdf","AccidentReport")</f>
        <v>AccidentReport</v>
      </c>
      <c r="C40" t="s">
        <v>208</v>
      </c>
      <c r="D40" t="s">
        <v>219</v>
      </c>
      <c r="E40" t="s">
        <v>106</v>
      </c>
      <c r="F40" t="s">
        <v>88</v>
      </c>
      <c r="G40">
        <v>33.801386999999998</v>
      </c>
      <c r="H40">
        <v>-118.34194100000001</v>
      </c>
      <c r="K40" t="s">
        <v>155</v>
      </c>
      <c r="L40">
        <v>2</v>
      </c>
      <c r="M40" t="s">
        <v>90</v>
      </c>
      <c r="N40" t="s">
        <v>91</v>
      </c>
      <c r="O40" t="s">
        <v>92</v>
      </c>
      <c r="S40" t="s">
        <v>108</v>
      </c>
      <c r="T40" t="s">
        <v>220</v>
      </c>
      <c r="U40" t="s">
        <v>222</v>
      </c>
    </row>
    <row r="41" spans="1:21" x14ac:dyDescent="0.3">
      <c r="A41" t="s">
        <v>223</v>
      </c>
      <c r="B41" s="6" t="str">
        <f>HYPERLINK("http://data.ntsb.gov/carol-repgen/api/Aviation/ReportMain/GenerateNewestReport/98881/pdf","AccidentReport")</f>
        <v>AccidentReport</v>
      </c>
      <c r="C41" t="s">
        <v>224</v>
      </c>
      <c r="D41" t="s">
        <v>225</v>
      </c>
      <c r="E41" t="s">
        <v>154</v>
      </c>
      <c r="F41" t="s">
        <v>88</v>
      </c>
      <c r="G41">
        <v>27.448333000000002</v>
      </c>
      <c r="H41">
        <v>-99.086387000000002</v>
      </c>
      <c r="K41" t="s">
        <v>155</v>
      </c>
      <c r="L41">
        <v>1</v>
      </c>
      <c r="M41" t="s">
        <v>90</v>
      </c>
      <c r="N41" t="s">
        <v>91</v>
      </c>
      <c r="O41" t="s">
        <v>92</v>
      </c>
      <c r="S41" t="s">
        <v>101</v>
      </c>
      <c r="T41" t="s">
        <v>118</v>
      </c>
      <c r="U41" t="s">
        <v>186</v>
      </c>
    </row>
    <row r="42" spans="1:21" x14ac:dyDescent="0.3">
      <c r="A42" t="s">
        <v>226</v>
      </c>
      <c r="B42" s="6" t="str">
        <f>HYPERLINK("http://data.ntsb.gov/carol-repgen/api/Aviation/ReportMain/GenerateNewestReport/98919/pdf","AccidentReport")</f>
        <v>AccidentReport</v>
      </c>
      <c r="C42" t="s">
        <v>224</v>
      </c>
      <c r="D42" t="s">
        <v>227</v>
      </c>
      <c r="E42" t="s">
        <v>228</v>
      </c>
      <c r="F42" t="s">
        <v>88</v>
      </c>
      <c r="G42">
        <v>29.707221000000001</v>
      </c>
      <c r="H42">
        <v>-91.296385999999998</v>
      </c>
      <c r="K42" t="s">
        <v>89</v>
      </c>
      <c r="L42">
        <v>1</v>
      </c>
      <c r="M42" t="s">
        <v>90</v>
      </c>
      <c r="N42" t="s">
        <v>91</v>
      </c>
      <c r="O42" t="s">
        <v>92</v>
      </c>
      <c r="S42" t="s">
        <v>108</v>
      </c>
      <c r="T42" t="s">
        <v>229</v>
      </c>
      <c r="U42" t="s">
        <v>119</v>
      </c>
    </row>
    <row r="43" spans="1:21" x14ac:dyDescent="0.3">
      <c r="A43" t="s">
        <v>230</v>
      </c>
      <c r="B43" s="6" t="str">
        <f>HYPERLINK("http://data.ntsb.gov/carol-repgen/api/Aviation/ReportMain/GenerateNewestReport/98846/pdf","AccidentReport")</f>
        <v>AccidentReport</v>
      </c>
      <c r="C43" t="s">
        <v>231</v>
      </c>
      <c r="D43" t="s">
        <v>232</v>
      </c>
      <c r="E43" t="s">
        <v>233</v>
      </c>
      <c r="F43" t="s">
        <v>88</v>
      </c>
      <c r="G43">
        <v>56.308886999999999</v>
      </c>
      <c r="H43">
        <v>-158.53582</v>
      </c>
      <c r="K43" t="s">
        <v>89</v>
      </c>
      <c r="L43">
        <v>1</v>
      </c>
      <c r="M43" t="s">
        <v>90</v>
      </c>
      <c r="N43" t="s">
        <v>91</v>
      </c>
      <c r="O43" t="s">
        <v>92</v>
      </c>
      <c r="P43" t="s">
        <v>234</v>
      </c>
      <c r="S43" t="s">
        <v>170</v>
      </c>
      <c r="T43" t="s">
        <v>94</v>
      </c>
      <c r="U43" t="s">
        <v>95</v>
      </c>
    </row>
    <row r="44" spans="1:21" x14ac:dyDescent="0.3">
      <c r="A44" t="s">
        <v>235</v>
      </c>
      <c r="B44" s="6" t="str">
        <f>HYPERLINK("http://data.ntsb.gov/carol-repgen/api/Aviation/ReportMain/GenerateNewestReport/98847/pdf","AccidentReport")</f>
        <v>AccidentReport</v>
      </c>
      <c r="C44" t="s">
        <v>231</v>
      </c>
      <c r="D44" t="s">
        <v>236</v>
      </c>
      <c r="E44" t="s">
        <v>142</v>
      </c>
      <c r="F44" t="s">
        <v>88</v>
      </c>
      <c r="G44">
        <v>40.755553999999997</v>
      </c>
      <c r="H44">
        <v>-81.776947000000007</v>
      </c>
      <c r="I44">
        <v>2</v>
      </c>
      <c r="K44" t="s">
        <v>107</v>
      </c>
      <c r="L44">
        <v>1</v>
      </c>
      <c r="M44" t="s">
        <v>90</v>
      </c>
      <c r="N44" t="s">
        <v>91</v>
      </c>
      <c r="O44" t="s">
        <v>92</v>
      </c>
      <c r="S44" t="s">
        <v>166</v>
      </c>
      <c r="T44" t="s">
        <v>102</v>
      </c>
      <c r="U44" t="s">
        <v>150</v>
      </c>
    </row>
    <row r="45" spans="1:21" x14ac:dyDescent="0.3">
      <c r="A45" t="s">
        <v>237</v>
      </c>
      <c r="B45" s="6" t="str">
        <f>HYPERLINK("http://data.ntsb.gov/carol-repgen/api/Aviation/ReportMain/GenerateNewestReport/98848/pdf","AccidentReport")</f>
        <v>AccidentReport</v>
      </c>
      <c r="C45" t="s">
        <v>231</v>
      </c>
      <c r="D45" t="s">
        <v>238</v>
      </c>
      <c r="F45" t="s">
        <v>239</v>
      </c>
      <c r="G45">
        <v>49.683886999999999</v>
      </c>
      <c r="H45">
        <v>-2.5622220000000002</v>
      </c>
      <c r="I45">
        <v>2</v>
      </c>
      <c r="K45" t="s">
        <v>107</v>
      </c>
      <c r="L45">
        <v>1</v>
      </c>
      <c r="M45" t="s">
        <v>147</v>
      </c>
      <c r="N45" t="s">
        <v>91</v>
      </c>
      <c r="O45" t="s">
        <v>240</v>
      </c>
      <c r="T45" t="s">
        <v>102</v>
      </c>
      <c r="U45" t="s">
        <v>186</v>
      </c>
    </row>
    <row r="46" spans="1:21" x14ac:dyDescent="0.3">
      <c r="A46" t="s">
        <v>241</v>
      </c>
      <c r="B46" s="6" t="str">
        <f>HYPERLINK("http://data.ntsb.gov/carol-repgen/api/Aviation/ReportMain/GenerateNewestReport/98850/pdf","AccidentReport")</f>
        <v>AccidentReport</v>
      </c>
      <c r="C46" t="s">
        <v>242</v>
      </c>
      <c r="D46" t="s">
        <v>243</v>
      </c>
      <c r="E46" t="s">
        <v>233</v>
      </c>
      <c r="F46" t="s">
        <v>88</v>
      </c>
      <c r="G46">
        <v>60.903331000000001</v>
      </c>
      <c r="H46">
        <v>-150.1636</v>
      </c>
      <c r="K46" t="s">
        <v>155</v>
      </c>
      <c r="L46">
        <v>1</v>
      </c>
      <c r="M46" t="s">
        <v>90</v>
      </c>
      <c r="N46" t="s">
        <v>91</v>
      </c>
      <c r="O46" t="s">
        <v>92</v>
      </c>
      <c r="S46" t="s">
        <v>108</v>
      </c>
      <c r="T46" t="s">
        <v>159</v>
      </c>
      <c r="U46" t="s">
        <v>186</v>
      </c>
    </row>
    <row r="47" spans="1:21" x14ac:dyDescent="0.3">
      <c r="A47" t="s">
        <v>244</v>
      </c>
      <c r="B47" s="6" t="str">
        <f>HYPERLINK("http://data.ntsb.gov/carol-repgen/api/Aviation/ReportMain/GenerateNewestReport/98852/pdf","AccidentReport")</f>
        <v>AccidentReport</v>
      </c>
      <c r="C47" t="s">
        <v>245</v>
      </c>
      <c r="D47" t="s">
        <v>246</v>
      </c>
      <c r="E47" t="s">
        <v>192</v>
      </c>
      <c r="F47" t="s">
        <v>88</v>
      </c>
      <c r="G47">
        <v>41.190555000000003</v>
      </c>
      <c r="H47">
        <v>-112.007774</v>
      </c>
      <c r="K47" t="s">
        <v>89</v>
      </c>
      <c r="L47">
        <v>1</v>
      </c>
      <c r="M47" t="s">
        <v>90</v>
      </c>
      <c r="N47" t="s">
        <v>91</v>
      </c>
      <c r="O47" t="s">
        <v>92</v>
      </c>
      <c r="S47" t="s">
        <v>93</v>
      </c>
      <c r="T47" t="s">
        <v>247</v>
      </c>
      <c r="U47" t="s">
        <v>248</v>
      </c>
    </row>
    <row r="48" spans="1:21" x14ac:dyDescent="0.3">
      <c r="A48" t="s">
        <v>249</v>
      </c>
      <c r="B48" s="6" t="str">
        <f>HYPERLINK("http://data.ntsb.gov/carol-repgen/api/Aviation/ReportMain/GenerateNewestReport/98851/pdf","AccidentReport")</f>
        <v>AccidentReport</v>
      </c>
      <c r="C48" t="s">
        <v>245</v>
      </c>
      <c r="D48" t="s">
        <v>250</v>
      </c>
      <c r="E48" t="s">
        <v>251</v>
      </c>
      <c r="F48" t="s">
        <v>88</v>
      </c>
      <c r="G48">
        <v>42.066665</v>
      </c>
      <c r="H48">
        <v>-122.596389</v>
      </c>
      <c r="I48">
        <v>1</v>
      </c>
      <c r="K48" t="s">
        <v>107</v>
      </c>
      <c r="L48">
        <v>1</v>
      </c>
      <c r="M48" t="s">
        <v>90</v>
      </c>
      <c r="N48" t="s">
        <v>100</v>
      </c>
      <c r="O48" t="s">
        <v>92</v>
      </c>
      <c r="S48" t="s">
        <v>170</v>
      </c>
      <c r="T48" t="s">
        <v>113</v>
      </c>
      <c r="U48" t="s">
        <v>103</v>
      </c>
    </row>
    <row r="49" spans="1:21" x14ac:dyDescent="0.3">
      <c r="A49" t="s">
        <v>252</v>
      </c>
      <c r="B49" s="6" t="str">
        <f>HYPERLINK("http://data.ntsb.gov/carol-repgen/api/Aviation/ReportMain/GenerateNewestReport/98973/pdf","AccidentReport")</f>
        <v>AccidentReport</v>
      </c>
      <c r="C49" t="s">
        <v>253</v>
      </c>
      <c r="D49" t="s">
        <v>254</v>
      </c>
      <c r="E49" t="s">
        <v>251</v>
      </c>
      <c r="F49" t="s">
        <v>88</v>
      </c>
      <c r="G49">
        <v>45.549446000000003</v>
      </c>
      <c r="H49">
        <v>-122.40139000000001</v>
      </c>
      <c r="K49" t="s">
        <v>89</v>
      </c>
      <c r="L49">
        <v>1</v>
      </c>
      <c r="M49" t="s">
        <v>90</v>
      </c>
      <c r="N49" t="s">
        <v>91</v>
      </c>
      <c r="O49" t="s">
        <v>92</v>
      </c>
      <c r="S49" t="s">
        <v>108</v>
      </c>
      <c r="T49" t="s">
        <v>94</v>
      </c>
      <c r="U49" t="s">
        <v>95</v>
      </c>
    </row>
    <row r="50" spans="1:21" x14ac:dyDescent="0.3">
      <c r="A50" t="s">
        <v>255</v>
      </c>
      <c r="B50" s="6" t="str">
        <f>HYPERLINK("http://data.ntsb.gov/carol-repgen/api/Aviation/ReportMain/GenerateNewestReport/98913/pdf","AccidentReport")</f>
        <v>AccidentReport</v>
      </c>
      <c r="C50" t="s">
        <v>253</v>
      </c>
      <c r="D50" t="s">
        <v>256</v>
      </c>
      <c r="E50" t="s">
        <v>251</v>
      </c>
      <c r="F50" t="s">
        <v>88</v>
      </c>
      <c r="G50">
        <v>45.374167999999997</v>
      </c>
      <c r="H50">
        <v>-121.68888800000001</v>
      </c>
      <c r="I50">
        <v>1</v>
      </c>
      <c r="K50" t="s">
        <v>107</v>
      </c>
      <c r="L50">
        <v>1</v>
      </c>
      <c r="M50" t="s">
        <v>147</v>
      </c>
      <c r="N50" t="s">
        <v>91</v>
      </c>
      <c r="O50" t="s">
        <v>92</v>
      </c>
      <c r="S50" t="s">
        <v>108</v>
      </c>
      <c r="T50" t="s">
        <v>102</v>
      </c>
      <c r="U50" t="s">
        <v>103</v>
      </c>
    </row>
    <row r="51" spans="1:21" x14ac:dyDescent="0.3">
      <c r="A51" t="s">
        <v>257</v>
      </c>
      <c r="B51" s="6" t="str">
        <f>HYPERLINK("http://data.ntsb.gov/carol-repgen/api/Aviation/ReportMain/GenerateNewestReport/98860/pdf","AccidentReport")</f>
        <v>AccidentReport</v>
      </c>
      <c r="C51" t="s">
        <v>258</v>
      </c>
      <c r="D51" t="s">
        <v>259</v>
      </c>
      <c r="E51" t="s">
        <v>260</v>
      </c>
      <c r="F51" t="s">
        <v>88</v>
      </c>
      <c r="G51">
        <v>38.053890000000003</v>
      </c>
      <c r="H51">
        <v>-84.573890000000006</v>
      </c>
      <c r="K51" t="s">
        <v>89</v>
      </c>
      <c r="L51">
        <v>1</v>
      </c>
      <c r="M51" t="s">
        <v>90</v>
      </c>
      <c r="N51" t="s">
        <v>91</v>
      </c>
      <c r="O51" t="s">
        <v>92</v>
      </c>
      <c r="S51" t="s">
        <v>108</v>
      </c>
      <c r="T51" t="s">
        <v>118</v>
      </c>
      <c r="U51" t="s">
        <v>119</v>
      </c>
    </row>
    <row r="52" spans="1:21" x14ac:dyDescent="0.3">
      <c r="A52" t="s">
        <v>261</v>
      </c>
      <c r="B52" s="6" t="str">
        <f>HYPERLINK("http://data.ntsb.gov/carol-repgen/api/Aviation/ReportMain/GenerateNewestReport/98854/pdf","AccidentReport")</f>
        <v>AccidentReport</v>
      </c>
      <c r="C52" t="s">
        <v>258</v>
      </c>
      <c r="D52" t="s">
        <v>262</v>
      </c>
      <c r="E52" t="s">
        <v>106</v>
      </c>
      <c r="F52" t="s">
        <v>88</v>
      </c>
      <c r="G52">
        <v>34.259444999999999</v>
      </c>
      <c r="H52">
        <v>-118.41333</v>
      </c>
      <c r="K52" t="s">
        <v>89</v>
      </c>
      <c r="L52">
        <v>1</v>
      </c>
      <c r="M52" t="s">
        <v>90</v>
      </c>
      <c r="N52" t="s">
        <v>91</v>
      </c>
      <c r="O52" t="s">
        <v>92</v>
      </c>
      <c r="S52" t="s">
        <v>108</v>
      </c>
      <c r="T52" t="s">
        <v>94</v>
      </c>
      <c r="U52" t="s">
        <v>95</v>
      </c>
    </row>
    <row r="53" spans="1:21" x14ac:dyDescent="0.3">
      <c r="A53" t="s">
        <v>263</v>
      </c>
      <c r="B53" s="6" t="str">
        <f>HYPERLINK("http://data.ntsb.gov/carol-repgen/api/Aviation/ReportMain/GenerateNewestReport/98955/pdf","AccidentReport")</f>
        <v>AccidentReport</v>
      </c>
      <c r="C53" t="s">
        <v>258</v>
      </c>
      <c r="D53" t="s">
        <v>264</v>
      </c>
      <c r="E53" t="s">
        <v>265</v>
      </c>
      <c r="F53" t="s">
        <v>88</v>
      </c>
      <c r="G53">
        <v>37.239165999999997</v>
      </c>
      <c r="H53">
        <v>-76.71611</v>
      </c>
      <c r="K53" t="s">
        <v>89</v>
      </c>
      <c r="L53">
        <v>1</v>
      </c>
      <c r="M53" t="s">
        <v>90</v>
      </c>
      <c r="N53" t="s">
        <v>91</v>
      </c>
      <c r="O53" t="s">
        <v>92</v>
      </c>
      <c r="S53" t="s">
        <v>108</v>
      </c>
      <c r="T53" t="s">
        <v>247</v>
      </c>
      <c r="U53" t="s">
        <v>95</v>
      </c>
    </row>
    <row r="54" spans="1:21" x14ac:dyDescent="0.3">
      <c r="A54" t="s">
        <v>266</v>
      </c>
      <c r="B54" s="6" t="str">
        <f>HYPERLINK("http://data.ntsb.gov/carol-repgen/api/Aviation/ReportMain/GenerateNewestReport/98929/pdf","AccidentReport")</f>
        <v>AccidentReport</v>
      </c>
      <c r="C54" t="s">
        <v>267</v>
      </c>
      <c r="D54" t="s">
        <v>268</v>
      </c>
      <c r="E54" t="s">
        <v>154</v>
      </c>
      <c r="F54" t="s">
        <v>88</v>
      </c>
      <c r="G54">
        <v>30.424164999999999</v>
      </c>
      <c r="H54">
        <v>-97.568611000000004</v>
      </c>
      <c r="K54" t="s">
        <v>155</v>
      </c>
      <c r="L54">
        <v>1</v>
      </c>
      <c r="M54" t="s">
        <v>90</v>
      </c>
      <c r="N54" t="s">
        <v>91</v>
      </c>
      <c r="O54" t="s">
        <v>92</v>
      </c>
      <c r="S54" t="s">
        <v>108</v>
      </c>
      <c r="T54" t="s">
        <v>118</v>
      </c>
      <c r="U54" t="s">
        <v>186</v>
      </c>
    </row>
    <row r="55" spans="1:21" x14ac:dyDescent="0.3">
      <c r="A55" t="s">
        <v>269</v>
      </c>
      <c r="B55" s="6" t="str">
        <f>HYPERLINK("http://data.ntsb.gov/carol-repgen/api/Aviation/ReportMain/GenerateNewestReport/98908/pdf","AccidentReport")</f>
        <v>AccidentReport</v>
      </c>
      <c r="C55" t="s">
        <v>267</v>
      </c>
      <c r="D55" t="s">
        <v>270</v>
      </c>
      <c r="E55" t="s">
        <v>154</v>
      </c>
      <c r="F55" t="s">
        <v>88</v>
      </c>
      <c r="G55">
        <v>32.755831999999998</v>
      </c>
      <c r="H55">
        <v>-97.297775000000001</v>
      </c>
      <c r="J55">
        <v>1</v>
      </c>
      <c r="K55" t="s">
        <v>99</v>
      </c>
      <c r="L55">
        <v>1</v>
      </c>
      <c r="M55" t="s">
        <v>90</v>
      </c>
      <c r="N55" t="s">
        <v>91</v>
      </c>
      <c r="O55" t="s">
        <v>92</v>
      </c>
      <c r="S55" t="s">
        <v>108</v>
      </c>
      <c r="T55" t="s">
        <v>118</v>
      </c>
      <c r="U55" t="s">
        <v>119</v>
      </c>
    </row>
    <row r="56" spans="1:21" x14ac:dyDescent="0.3">
      <c r="A56" t="s">
        <v>271</v>
      </c>
      <c r="B56" s="6" t="str">
        <f>HYPERLINK("http://data.ntsb.gov/carol-repgen/api/Aviation/ReportMain/GenerateNewestReport/98918/pdf","AccidentReport")</f>
        <v>AccidentReport</v>
      </c>
      <c r="C56" t="s">
        <v>267</v>
      </c>
      <c r="D56" t="s">
        <v>243</v>
      </c>
      <c r="E56" t="s">
        <v>233</v>
      </c>
      <c r="F56" t="s">
        <v>88</v>
      </c>
      <c r="G56">
        <v>61.215831000000001</v>
      </c>
      <c r="H56">
        <v>-149.84027</v>
      </c>
      <c r="K56" t="s">
        <v>89</v>
      </c>
      <c r="L56">
        <v>1</v>
      </c>
      <c r="M56" t="s">
        <v>90</v>
      </c>
      <c r="N56" t="s">
        <v>91</v>
      </c>
      <c r="O56" t="s">
        <v>92</v>
      </c>
      <c r="S56" t="s">
        <v>93</v>
      </c>
      <c r="T56" t="s">
        <v>94</v>
      </c>
      <c r="U56" t="s">
        <v>95</v>
      </c>
    </row>
    <row r="57" spans="1:21" x14ac:dyDescent="0.3">
      <c r="A57" t="s">
        <v>272</v>
      </c>
      <c r="B57" s="6" t="str">
        <f>HYPERLINK("http://data.ntsb.gov/carol-repgen/api/Aviation/ReportMain/GenerateNewestReport/98943/pdf","AccidentReport")</f>
        <v>AccidentReport</v>
      </c>
      <c r="C57" t="s">
        <v>267</v>
      </c>
      <c r="D57" t="s">
        <v>273</v>
      </c>
      <c r="E57" t="s">
        <v>176</v>
      </c>
      <c r="F57" t="s">
        <v>88</v>
      </c>
      <c r="G57">
        <v>46.445835000000002</v>
      </c>
      <c r="H57">
        <v>-120.363891</v>
      </c>
      <c r="K57" t="s">
        <v>89</v>
      </c>
      <c r="L57">
        <v>1</v>
      </c>
      <c r="M57" t="s">
        <v>90</v>
      </c>
      <c r="N57" t="s">
        <v>91</v>
      </c>
      <c r="O57" t="s">
        <v>92</v>
      </c>
      <c r="S57" t="s">
        <v>108</v>
      </c>
      <c r="T57" t="s">
        <v>159</v>
      </c>
      <c r="U57" t="s">
        <v>119</v>
      </c>
    </row>
    <row r="58" spans="1:21" x14ac:dyDescent="0.3">
      <c r="A58" t="s">
        <v>274</v>
      </c>
      <c r="B58" s="6" t="str">
        <f>HYPERLINK("http://data.ntsb.gov/carol-repgen/api/Aviation/ReportMain/GenerateNewestReport/98962/pdf","AccidentReport")</f>
        <v>AccidentReport</v>
      </c>
      <c r="C58" t="s">
        <v>267</v>
      </c>
      <c r="D58" t="s">
        <v>275</v>
      </c>
      <c r="E58" t="s">
        <v>233</v>
      </c>
      <c r="F58" t="s">
        <v>88</v>
      </c>
      <c r="G58">
        <v>62.786109000000003</v>
      </c>
      <c r="H58">
        <v>-154.75361599999999</v>
      </c>
      <c r="K58" t="s">
        <v>89</v>
      </c>
      <c r="L58">
        <v>1</v>
      </c>
      <c r="M58" t="s">
        <v>90</v>
      </c>
      <c r="N58" t="s">
        <v>91</v>
      </c>
      <c r="O58" t="s">
        <v>92</v>
      </c>
      <c r="S58" t="s">
        <v>108</v>
      </c>
      <c r="T58" t="s">
        <v>109</v>
      </c>
      <c r="U58" t="s">
        <v>95</v>
      </c>
    </row>
    <row r="59" spans="1:21" x14ac:dyDescent="0.3">
      <c r="A59" t="s">
        <v>276</v>
      </c>
      <c r="B59" s="6" t="str">
        <f>HYPERLINK("http://data.ntsb.gov/carol-repgen/api/Aviation/ReportMain/GenerateNewestReport/98896/pdf","AccidentReport")</f>
        <v>AccidentReport</v>
      </c>
      <c r="C59" t="s">
        <v>277</v>
      </c>
      <c r="D59" t="s">
        <v>278</v>
      </c>
      <c r="E59" t="s">
        <v>106</v>
      </c>
      <c r="F59" t="s">
        <v>88</v>
      </c>
      <c r="G59">
        <v>33.210555999999997</v>
      </c>
      <c r="H59">
        <v>-117.36915999999999</v>
      </c>
      <c r="I59">
        <v>1</v>
      </c>
      <c r="J59">
        <v>1</v>
      </c>
      <c r="K59" t="s">
        <v>107</v>
      </c>
      <c r="L59">
        <v>1</v>
      </c>
      <c r="M59" t="s">
        <v>90</v>
      </c>
      <c r="N59" t="s">
        <v>91</v>
      </c>
      <c r="O59" t="s">
        <v>92</v>
      </c>
      <c r="S59" t="s">
        <v>108</v>
      </c>
      <c r="T59" t="s">
        <v>279</v>
      </c>
      <c r="U59" t="s">
        <v>150</v>
      </c>
    </row>
    <row r="60" spans="1:21" x14ac:dyDescent="0.3">
      <c r="A60" t="s">
        <v>280</v>
      </c>
      <c r="B60" s="6" t="str">
        <f>HYPERLINK("http://data.ntsb.gov/carol-repgen/api/Aviation/ReportMain/GenerateNewestReport/98910/pdf","AccidentReport")</f>
        <v>AccidentReport</v>
      </c>
      <c r="C60" t="s">
        <v>277</v>
      </c>
      <c r="D60" t="s">
        <v>281</v>
      </c>
      <c r="E60" t="s">
        <v>251</v>
      </c>
      <c r="F60" t="s">
        <v>88</v>
      </c>
      <c r="G60">
        <v>42.717224000000002</v>
      </c>
      <c r="H60">
        <v>-122.51721000000001</v>
      </c>
      <c r="J60">
        <v>1</v>
      </c>
      <c r="K60" t="s">
        <v>99</v>
      </c>
      <c r="L60">
        <v>1</v>
      </c>
      <c r="M60" t="s">
        <v>90</v>
      </c>
      <c r="N60" t="s">
        <v>91</v>
      </c>
      <c r="O60" t="s">
        <v>92</v>
      </c>
      <c r="S60" t="s">
        <v>108</v>
      </c>
      <c r="T60" t="s">
        <v>118</v>
      </c>
      <c r="U60" t="s">
        <v>150</v>
      </c>
    </row>
    <row r="61" spans="1:21" x14ac:dyDescent="0.3">
      <c r="A61" t="s">
        <v>282</v>
      </c>
      <c r="B61" s="6" t="str">
        <f>HYPERLINK("http://data.ntsb.gov/carol-repgen/api/Aviation/ReportMain/GenerateNewestReport/98934/pdf","AccidentReport")</f>
        <v>AccidentReport</v>
      </c>
      <c r="C61" t="s">
        <v>283</v>
      </c>
      <c r="D61" t="s">
        <v>284</v>
      </c>
      <c r="E61" t="s">
        <v>233</v>
      </c>
      <c r="F61" t="s">
        <v>88</v>
      </c>
      <c r="G61">
        <v>56.994998000000002</v>
      </c>
      <c r="H61">
        <v>-134.46722</v>
      </c>
      <c r="I61">
        <v>3</v>
      </c>
      <c r="K61" t="s">
        <v>107</v>
      </c>
      <c r="L61">
        <v>1</v>
      </c>
      <c r="M61" t="s">
        <v>147</v>
      </c>
      <c r="N61" t="s">
        <v>91</v>
      </c>
      <c r="O61" t="s">
        <v>92</v>
      </c>
      <c r="S61" t="s">
        <v>173</v>
      </c>
      <c r="T61" t="s">
        <v>102</v>
      </c>
      <c r="U61" t="s">
        <v>119</v>
      </c>
    </row>
    <row r="62" spans="1:21" x14ac:dyDescent="0.3">
      <c r="A62" t="s">
        <v>285</v>
      </c>
      <c r="B62" s="6" t="str">
        <f>HYPERLINK("http://data.ntsb.gov/carol-repgen/api/Aviation/ReportMain/GenerateNewestReport/98915/pdf","AccidentReport")</f>
        <v>AccidentReport</v>
      </c>
      <c r="C62" t="s">
        <v>283</v>
      </c>
      <c r="D62" t="s">
        <v>286</v>
      </c>
      <c r="E62" t="s">
        <v>154</v>
      </c>
      <c r="F62" t="s">
        <v>88</v>
      </c>
      <c r="G62">
        <v>32.634723000000001</v>
      </c>
      <c r="H62">
        <v>-96.970275000000001</v>
      </c>
      <c r="K62" t="s">
        <v>89</v>
      </c>
      <c r="L62">
        <v>1</v>
      </c>
      <c r="M62" t="s">
        <v>90</v>
      </c>
      <c r="N62" t="s">
        <v>91</v>
      </c>
      <c r="O62" t="s">
        <v>92</v>
      </c>
      <c r="S62" t="s">
        <v>93</v>
      </c>
      <c r="T62" t="s">
        <v>287</v>
      </c>
      <c r="U62" t="s">
        <v>186</v>
      </c>
    </row>
    <row r="63" spans="1:21" x14ac:dyDescent="0.3">
      <c r="A63" t="s">
        <v>285</v>
      </c>
      <c r="B63" s="6" t="str">
        <f>HYPERLINK("http://data.ntsb.gov/carol-repgen/api/Aviation/ReportMain/GenerateNewestReport/98915/pdf","AccidentReport")</f>
        <v>AccidentReport</v>
      </c>
      <c r="C63" t="s">
        <v>283</v>
      </c>
      <c r="D63" t="s">
        <v>286</v>
      </c>
      <c r="E63" t="s">
        <v>154</v>
      </c>
      <c r="F63" t="s">
        <v>88</v>
      </c>
      <c r="G63">
        <v>32.634723000000001</v>
      </c>
      <c r="H63">
        <v>-96.970275000000001</v>
      </c>
      <c r="K63" t="s">
        <v>89</v>
      </c>
      <c r="L63">
        <v>2</v>
      </c>
      <c r="M63" t="s">
        <v>90</v>
      </c>
      <c r="N63" t="s">
        <v>91</v>
      </c>
      <c r="O63" t="s">
        <v>92</v>
      </c>
      <c r="S63" t="s">
        <v>93</v>
      </c>
      <c r="T63" t="s">
        <v>287</v>
      </c>
      <c r="U63" t="s">
        <v>186</v>
      </c>
    </row>
    <row r="64" spans="1:21" x14ac:dyDescent="0.3">
      <c r="A64" t="s">
        <v>288</v>
      </c>
      <c r="B64" s="6" t="str">
        <f>HYPERLINK("http://data.ntsb.gov/carol-repgen/api/Aviation/ReportMain/GenerateNewestReport/98917/pdf","AccidentReport")</f>
        <v>AccidentReport</v>
      </c>
      <c r="C64" t="s">
        <v>283</v>
      </c>
      <c r="D64" t="s">
        <v>289</v>
      </c>
      <c r="E64" t="s">
        <v>290</v>
      </c>
      <c r="F64" t="s">
        <v>88</v>
      </c>
      <c r="G64">
        <v>39.000556000000003</v>
      </c>
      <c r="H64">
        <v>-119.751113</v>
      </c>
      <c r="K64" t="s">
        <v>89</v>
      </c>
      <c r="L64">
        <v>1</v>
      </c>
      <c r="M64" t="s">
        <v>90</v>
      </c>
      <c r="N64" t="s">
        <v>91</v>
      </c>
      <c r="O64" t="s">
        <v>92</v>
      </c>
      <c r="S64" t="s">
        <v>108</v>
      </c>
      <c r="T64" t="s">
        <v>94</v>
      </c>
      <c r="U64" t="s">
        <v>248</v>
      </c>
    </row>
    <row r="65" spans="1:21" x14ac:dyDescent="0.3">
      <c r="A65" t="s">
        <v>291</v>
      </c>
      <c r="B65" s="6" t="str">
        <f>HYPERLINK("http://data.ntsb.gov/carol-repgen/api/Aviation/ReportMain/GenerateNewestReport/98925/pdf","AccidentReport")</f>
        <v>AccidentReport</v>
      </c>
      <c r="C65" t="s">
        <v>283</v>
      </c>
      <c r="D65" t="s">
        <v>292</v>
      </c>
      <c r="E65" t="s">
        <v>106</v>
      </c>
      <c r="F65" t="s">
        <v>88</v>
      </c>
      <c r="G65">
        <v>39.319999000000003</v>
      </c>
      <c r="H65">
        <v>-120.139442</v>
      </c>
      <c r="K65" t="s">
        <v>89</v>
      </c>
      <c r="L65">
        <v>1</v>
      </c>
      <c r="M65" t="s">
        <v>90</v>
      </c>
      <c r="N65" t="s">
        <v>91</v>
      </c>
      <c r="O65" t="s">
        <v>92</v>
      </c>
      <c r="S65" t="s">
        <v>108</v>
      </c>
      <c r="T65" t="s">
        <v>94</v>
      </c>
      <c r="U65" t="s">
        <v>95</v>
      </c>
    </row>
    <row r="66" spans="1:21" x14ac:dyDescent="0.3">
      <c r="A66" t="s">
        <v>293</v>
      </c>
      <c r="B66" s="6" t="str">
        <f>HYPERLINK("http://data.ntsb.gov/carol-repgen/api/Aviation/ReportMain/GenerateNewestReport/98927/pdf","AccidentReport")</f>
        <v>AccidentReport</v>
      </c>
      <c r="C66" t="s">
        <v>283</v>
      </c>
      <c r="D66" t="s">
        <v>294</v>
      </c>
      <c r="E66" t="s">
        <v>98</v>
      </c>
      <c r="F66" t="s">
        <v>88</v>
      </c>
      <c r="G66">
        <v>28.011109999999999</v>
      </c>
      <c r="H66">
        <v>-82.344443999999996</v>
      </c>
      <c r="K66" t="s">
        <v>89</v>
      </c>
      <c r="L66">
        <v>1</v>
      </c>
      <c r="M66" t="s">
        <v>90</v>
      </c>
      <c r="N66" t="s">
        <v>100</v>
      </c>
      <c r="O66" t="s">
        <v>295</v>
      </c>
      <c r="S66" t="s">
        <v>93</v>
      </c>
      <c r="T66" t="s">
        <v>109</v>
      </c>
      <c r="U66" t="s">
        <v>95</v>
      </c>
    </row>
    <row r="67" spans="1:21" x14ac:dyDescent="0.3">
      <c r="A67" t="s">
        <v>296</v>
      </c>
      <c r="B67" s="6" t="str">
        <f>HYPERLINK("http://data.ntsb.gov/carol-repgen/api/Aviation/ReportMain/GenerateNewestReport/98935/pdf","AccidentReport")</f>
        <v>AccidentReport</v>
      </c>
      <c r="C67" t="s">
        <v>297</v>
      </c>
      <c r="D67" t="s">
        <v>298</v>
      </c>
      <c r="E67" t="s">
        <v>154</v>
      </c>
      <c r="F67" t="s">
        <v>88</v>
      </c>
      <c r="G67">
        <v>29.740857999999999</v>
      </c>
      <c r="H67">
        <v>-95.830405999999996</v>
      </c>
      <c r="I67">
        <v>1</v>
      </c>
      <c r="K67" t="s">
        <v>107</v>
      </c>
      <c r="L67">
        <v>1</v>
      </c>
      <c r="M67" t="s">
        <v>147</v>
      </c>
      <c r="N67" t="s">
        <v>91</v>
      </c>
      <c r="O67" t="s">
        <v>92</v>
      </c>
      <c r="S67" t="s">
        <v>108</v>
      </c>
      <c r="T67" t="s">
        <v>279</v>
      </c>
      <c r="U67" t="s">
        <v>186</v>
      </c>
    </row>
    <row r="68" spans="1:21" x14ac:dyDescent="0.3">
      <c r="A68" t="s">
        <v>299</v>
      </c>
      <c r="B68" s="6" t="str">
        <f>HYPERLINK("http://data.ntsb.gov/carol-repgen/api/Aviation/ReportMain/GenerateNewestReport/98936/pdf","AccidentReport")</f>
        <v>AccidentReport</v>
      </c>
      <c r="C68" t="s">
        <v>300</v>
      </c>
      <c r="D68" t="s">
        <v>301</v>
      </c>
      <c r="E68" t="s">
        <v>301</v>
      </c>
      <c r="F68" t="s">
        <v>88</v>
      </c>
      <c r="G68">
        <v>37.634956000000003</v>
      </c>
      <c r="H68">
        <v>-72.860870000000006</v>
      </c>
      <c r="I68">
        <v>2</v>
      </c>
      <c r="K68" t="s">
        <v>107</v>
      </c>
      <c r="L68">
        <v>1</v>
      </c>
      <c r="M68" t="s">
        <v>147</v>
      </c>
      <c r="N68" t="s">
        <v>91</v>
      </c>
      <c r="O68" t="s">
        <v>92</v>
      </c>
      <c r="S68" t="s">
        <v>108</v>
      </c>
      <c r="T68" t="s">
        <v>229</v>
      </c>
      <c r="U68" t="s">
        <v>103</v>
      </c>
    </row>
    <row r="69" spans="1:21" x14ac:dyDescent="0.3">
      <c r="A69" t="s">
        <v>302</v>
      </c>
      <c r="B69" s="6" t="str">
        <f>HYPERLINK("http://data.ntsb.gov/carol-repgen/api/Aviation/ReportMain/GenerateNewestReport/98940/pdf","AccidentReport")</f>
        <v>AccidentReport</v>
      </c>
      <c r="C69" t="s">
        <v>300</v>
      </c>
      <c r="D69" t="s">
        <v>303</v>
      </c>
      <c r="E69" t="s">
        <v>192</v>
      </c>
      <c r="F69" t="s">
        <v>88</v>
      </c>
      <c r="G69">
        <v>37.404997999999999</v>
      </c>
      <c r="H69">
        <v>-112.909164</v>
      </c>
      <c r="K69" t="s">
        <v>89</v>
      </c>
      <c r="L69">
        <v>1</v>
      </c>
      <c r="M69" t="s">
        <v>90</v>
      </c>
      <c r="N69" t="s">
        <v>91</v>
      </c>
      <c r="O69" t="s">
        <v>92</v>
      </c>
      <c r="S69" t="s">
        <v>108</v>
      </c>
      <c r="T69" t="s">
        <v>94</v>
      </c>
      <c r="U69" t="s">
        <v>95</v>
      </c>
    </row>
    <row r="70" spans="1:21" x14ac:dyDescent="0.3">
      <c r="A70" t="s">
        <v>304</v>
      </c>
      <c r="B70" s="6" t="str">
        <f>HYPERLINK("http://data.ntsb.gov/carol-repgen/api/Aviation/ReportMain/GenerateNewestReport/98939/pdf","AccidentReport")</f>
        <v>AccidentReport</v>
      </c>
      <c r="C70" t="s">
        <v>300</v>
      </c>
      <c r="D70" t="s">
        <v>305</v>
      </c>
      <c r="E70" t="s">
        <v>128</v>
      </c>
      <c r="F70" t="s">
        <v>88</v>
      </c>
      <c r="G70">
        <v>34.024444000000003</v>
      </c>
      <c r="H70">
        <v>-106.89833</v>
      </c>
      <c r="I70">
        <v>1</v>
      </c>
      <c r="K70" t="s">
        <v>107</v>
      </c>
      <c r="L70">
        <v>1</v>
      </c>
      <c r="M70" t="s">
        <v>90</v>
      </c>
      <c r="N70" t="s">
        <v>91</v>
      </c>
      <c r="O70" t="s">
        <v>92</v>
      </c>
      <c r="S70" t="s">
        <v>108</v>
      </c>
      <c r="T70" t="s">
        <v>102</v>
      </c>
      <c r="U70" t="s">
        <v>248</v>
      </c>
    </row>
    <row r="71" spans="1:21" x14ac:dyDescent="0.3">
      <c r="A71" t="s">
        <v>306</v>
      </c>
      <c r="B71" s="6" t="str">
        <f>HYPERLINK("http://data.ntsb.gov/carol-repgen/api/Aviation/ReportMain/GenerateNewestReport/98937/pdf","AccidentReport")</f>
        <v>AccidentReport</v>
      </c>
      <c r="C71" t="s">
        <v>307</v>
      </c>
      <c r="D71" t="s">
        <v>308</v>
      </c>
      <c r="E71" t="s">
        <v>98</v>
      </c>
      <c r="F71" t="s">
        <v>88</v>
      </c>
      <c r="G71">
        <v>29.27861</v>
      </c>
      <c r="H71">
        <v>-82.122221999999994</v>
      </c>
      <c r="I71">
        <v>1</v>
      </c>
      <c r="K71" t="s">
        <v>107</v>
      </c>
      <c r="L71">
        <v>1</v>
      </c>
      <c r="M71" t="s">
        <v>90</v>
      </c>
      <c r="N71" t="s">
        <v>309</v>
      </c>
      <c r="O71" t="s">
        <v>92</v>
      </c>
      <c r="S71" t="s">
        <v>108</v>
      </c>
      <c r="T71" t="s">
        <v>102</v>
      </c>
      <c r="U71" t="s">
        <v>150</v>
      </c>
    </row>
    <row r="72" spans="1:21" x14ac:dyDescent="0.3">
      <c r="A72" t="s">
        <v>310</v>
      </c>
      <c r="B72" s="6" t="str">
        <f>HYPERLINK("http://data.ntsb.gov/carol-repgen/api/Aviation/ReportMain/GenerateNewestReport/98941/pdf","AccidentReport")</f>
        <v>AccidentReport</v>
      </c>
      <c r="C72" t="s">
        <v>307</v>
      </c>
      <c r="D72" t="s">
        <v>311</v>
      </c>
      <c r="E72" t="s">
        <v>206</v>
      </c>
      <c r="F72" t="s">
        <v>88</v>
      </c>
      <c r="G72">
        <v>36.560001</v>
      </c>
      <c r="H72">
        <v>-75.919998000000007</v>
      </c>
      <c r="K72" t="s">
        <v>89</v>
      </c>
      <c r="L72">
        <v>1</v>
      </c>
      <c r="M72" t="s">
        <v>90</v>
      </c>
      <c r="N72" t="s">
        <v>91</v>
      </c>
      <c r="O72" t="s">
        <v>92</v>
      </c>
      <c r="S72" t="s">
        <v>108</v>
      </c>
      <c r="T72" t="s">
        <v>159</v>
      </c>
      <c r="U72" t="s">
        <v>186</v>
      </c>
    </row>
    <row r="73" spans="1:21" x14ac:dyDescent="0.3">
      <c r="A73" t="s">
        <v>312</v>
      </c>
      <c r="B73" s="6" t="str">
        <f>HYPERLINK("http://data.ntsb.gov/carol-repgen/api/Aviation/ReportMain/GenerateNewestReport/98938/pdf","AccidentReport")</f>
        <v>AccidentReport</v>
      </c>
      <c r="C73" t="s">
        <v>313</v>
      </c>
      <c r="D73" t="s">
        <v>314</v>
      </c>
      <c r="E73" t="s">
        <v>106</v>
      </c>
      <c r="F73" t="s">
        <v>88</v>
      </c>
      <c r="G73">
        <v>33.871943999999999</v>
      </c>
      <c r="H73">
        <v>-117.78666</v>
      </c>
      <c r="I73">
        <v>5</v>
      </c>
      <c r="J73">
        <v>2</v>
      </c>
      <c r="K73" t="s">
        <v>107</v>
      </c>
      <c r="L73">
        <v>1</v>
      </c>
      <c r="M73" t="s">
        <v>147</v>
      </c>
      <c r="N73" t="s">
        <v>91</v>
      </c>
      <c r="O73" t="s">
        <v>92</v>
      </c>
      <c r="S73" t="s">
        <v>108</v>
      </c>
      <c r="T73" t="s">
        <v>279</v>
      </c>
      <c r="U73" t="s">
        <v>150</v>
      </c>
    </row>
    <row r="74" spans="1:21" x14ac:dyDescent="0.3">
      <c r="A74" t="s">
        <v>315</v>
      </c>
      <c r="B74" s="6" t="str">
        <f>HYPERLINK("http://data.ntsb.gov/carol-repgen/api/Aviation/ReportMain/GenerateNewestReport/98954/pdf","AccidentReport")</f>
        <v>AccidentReport</v>
      </c>
      <c r="C74" t="s">
        <v>316</v>
      </c>
      <c r="D74" t="s">
        <v>317</v>
      </c>
      <c r="E74" t="s">
        <v>265</v>
      </c>
      <c r="F74" t="s">
        <v>88</v>
      </c>
      <c r="G74">
        <v>37.708056999999997</v>
      </c>
      <c r="H74">
        <v>-77.436385999999999</v>
      </c>
      <c r="K74" t="s">
        <v>89</v>
      </c>
      <c r="L74">
        <v>1</v>
      </c>
      <c r="M74" t="s">
        <v>90</v>
      </c>
      <c r="N74" t="s">
        <v>91</v>
      </c>
      <c r="O74" t="s">
        <v>92</v>
      </c>
      <c r="S74" t="s">
        <v>93</v>
      </c>
      <c r="T74" t="s">
        <v>94</v>
      </c>
      <c r="U74" t="s">
        <v>221</v>
      </c>
    </row>
    <row r="75" spans="1:21" x14ac:dyDescent="0.3">
      <c r="A75" t="s">
        <v>318</v>
      </c>
      <c r="B75" s="6" t="str">
        <f>HYPERLINK("http://data.ntsb.gov/carol-repgen/api/Aviation/ReportMain/GenerateNewestReport/98950/pdf","AccidentReport")</f>
        <v>AccidentReport</v>
      </c>
      <c r="C75" t="s">
        <v>319</v>
      </c>
      <c r="D75" t="s">
        <v>320</v>
      </c>
      <c r="E75" t="s">
        <v>106</v>
      </c>
      <c r="F75" t="s">
        <v>88</v>
      </c>
      <c r="G75">
        <v>34.026111</v>
      </c>
      <c r="H75">
        <v>-116.58777000000001</v>
      </c>
      <c r="I75">
        <v>2</v>
      </c>
      <c r="K75" t="s">
        <v>107</v>
      </c>
      <c r="L75">
        <v>1</v>
      </c>
      <c r="M75" t="s">
        <v>147</v>
      </c>
      <c r="N75" t="s">
        <v>91</v>
      </c>
      <c r="O75" t="s">
        <v>92</v>
      </c>
      <c r="S75" t="s">
        <v>108</v>
      </c>
      <c r="T75" t="s">
        <v>321</v>
      </c>
      <c r="U75" t="s">
        <v>186</v>
      </c>
    </row>
    <row r="76" spans="1:21" x14ac:dyDescent="0.3">
      <c r="A76" t="s">
        <v>322</v>
      </c>
      <c r="B76" s="6" t="str">
        <f>HYPERLINK("http://data.ntsb.gov/carol-repgen/api/Aviation/ReportMain/GenerateNewestReport/99003/pdf","AccidentReport")</f>
        <v>AccidentReport</v>
      </c>
      <c r="C76" t="s">
        <v>323</v>
      </c>
      <c r="D76" t="s">
        <v>324</v>
      </c>
      <c r="E76" t="s">
        <v>251</v>
      </c>
      <c r="F76" t="s">
        <v>88</v>
      </c>
      <c r="G76">
        <v>45.241390000000003</v>
      </c>
      <c r="H76">
        <v>-122.768608</v>
      </c>
      <c r="J76">
        <v>2</v>
      </c>
      <c r="K76" t="s">
        <v>99</v>
      </c>
      <c r="L76">
        <v>1</v>
      </c>
      <c r="M76" t="s">
        <v>90</v>
      </c>
      <c r="N76" t="s">
        <v>91</v>
      </c>
      <c r="O76" t="s">
        <v>92</v>
      </c>
      <c r="S76" t="s">
        <v>108</v>
      </c>
      <c r="T76" t="s">
        <v>102</v>
      </c>
      <c r="U76" t="s">
        <v>119</v>
      </c>
    </row>
    <row r="77" spans="1:21" x14ac:dyDescent="0.3">
      <c r="A77" t="s">
        <v>325</v>
      </c>
      <c r="B77" s="6" t="str">
        <f>HYPERLINK("http://data.ntsb.gov/carol-repgen/api/Aviation/ReportMain/GenerateNewestReport/98968/pdf","AccidentReport")</f>
        <v>AccidentReport</v>
      </c>
      <c r="C77" t="s">
        <v>326</v>
      </c>
      <c r="D77" t="s">
        <v>327</v>
      </c>
      <c r="E77" t="s">
        <v>98</v>
      </c>
      <c r="F77" t="s">
        <v>88</v>
      </c>
      <c r="G77">
        <v>27.664166999999999</v>
      </c>
      <c r="H77">
        <v>-80.424719999999994</v>
      </c>
      <c r="I77">
        <v>0</v>
      </c>
      <c r="J77">
        <v>0</v>
      </c>
      <c r="K77" t="s">
        <v>89</v>
      </c>
      <c r="L77">
        <v>1</v>
      </c>
      <c r="M77" t="s">
        <v>90</v>
      </c>
      <c r="N77" t="s">
        <v>91</v>
      </c>
      <c r="O77" t="s">
        <v>92</v>
      </c>
      <c r="S77" t="s">
        <v>108</v>
      </c>
      <c r="T77" t="s">
        <v>159</v>
      </c>
      <c r="U77" t="s">
        <v>119</v>
      </c>
    </row>
    <row r="78" spans="1:21" x14ac:dyDescent="0.3">
      <c r="A78" t="s">
        <v>328</v>
      </c>
      <c r="B78" s="6" t="str">
        <f>HYPERLINK("http://data.ntsb.gov/carol-repgen/api/Aviation/ReportMain/GenerateNewestReport/98966/pdf","AccidentReport")</f>
        <v>AccidentReport</v>
      </c>
      <c r="C78" t="s">
        <v>326</v>
      </c>
      <c r="D78" t="s">
        <v>329</v>
      </c>
      <c r="E78" t="s">
        <v>125</v>
      </c>
      <c r="F78" t="s">
        <v>88</v>
      </c>
      <c r="G78">
        <v>36.735832000000002</v>
      </c>
      <c r="H78">
        <v>-111.39555300000001</v>
      </c>
      <c r="K78" t="s">
        <v>89</v>
      </c>
      <c r="L78">
        <v>1</v>
      </c>
      <c r="M78" t="s">
        <v>90</v>
      </c>
      <c r="N78" t="s">
        <v>91</v>
      </c>
      <c r="O78" t="s">
        <v>92</v>
      </c>
      <c r="S78" t="s">
        <v>108</v>
      </c>
      <c r="T78" t="s">
        <v>102</v>
      </c>
      <c r="U78" t="s">
        <v>95</v>
      </c>
    </row>
    <row r="79" spans="1:21" x14ac:dyDescent="0.3">
      <c r="A79" t="s">
        <v>330</v>
      </c>
      <c r="B79" s="6" t="str">
        <f>HYPERLINK("http://data.ntsb.gov/carol-repgen/api/Aviation/ReportMain/GenerateNewestReport/98964/pdf","AccidentReport")</f>
        <v>AccidentReport</v>
      </c>
      <c r="C79" t="s">
        <v>326</v>
      </c>
      <c r="D79" t="s">
        <v>331</v>
      </c>
      <c r="E79" t="s">
        <v>106</v>
      </c>
      <c r="F79" t="s">
        <v>88</v>
      </c>
      <c r="G79">
        <v>37.871943999999999</v>
      </c>
      <c r="H79">
        <v>-121.92444</v>
      </c>
      <c r="I79">
        <v>1</v>
      </c>
      <c r="K79" t="s">
        <v>107</v>
      </c>
      <c r="L79">
        <v>1</v>
      </c>
      <c r="M79" t="s">
        <v>147</v>
      </c>
      <c r="N79" t="s">
        <v>91</v>
      </c>
      <c r="O79" t="s">
        <v>92</v>
      </c>
      <c r="S79" t="s">
        <v>108</v>
      </c>
      <c r="T79" t="s">
        <v>332</v>
      </c>
      <c r="U79" t="s">
        <v>186</v>
      </c>
    </row>
    <row r="80" spans="1:21" x14ac:dyDescent="0.3">
      <c r="A80" t="s">
        <v>333</v>
      </c>
      <c r="B80" s="6" t="str">
        <f>HYPERLINK("http://data.ntsb.gov/carol-repgen/api/Aviation/ReportMain/GenerateNewestReport/99168/pdf","AccidentReport")</f>
        <v>AccidentReport</v>
      </c>
      <c r="C80" t="s">
        <v>334</v>
      </c>
      <c r="D80" t="s">
        <v>335</v>
      </c>
      <c r="E80" t="s">
        <v>106</v>
      </c>
      <c r="F80" t="s">
        <v>88</v>
      </c>
      <c r="G80">
        <v>36.935831999999998</v>
      </c>
      <c r="H80">
        <v>-121.78971799999999</v>
      </c>
      <c r="J80">
        <v>2</v>
      </c>
      <c r="K80" t="s">
        <v>99</v>
      </c>
      <c r="L80">
        <v>1</v>
      </c>
      <c r="M80" t="s">
        <v>90</v>
      </c>
      <c r="N80" t="s">
        <v>91</v>
      </c>
      <c r="O80" t="s">
        <v>92</v>
      </c>
      <c r="S80" t="s">
        <v>93</v>
      </c>
      <c r="T80" t="s">
        <v>102</v>
      </c>
      <c r="U80" t="s">
        <v>119</v>
      </c>
    </row>
    <row r="81" spans="1:21" x14ac:dyDescent="0.3">
      <c r="A81" t="s">
        <v>336</v>
      </c>
      <c r="B81" s="6" t="str">
        <f>HYPERLINK("http://data.ntsb.gov/carol-repgen/api/Aviation/ReportMain/GenerateNewestReport/98969/pdf","AccidentReport")</f>
        <v>AccidentReport</v>
      </c>
      <c r="C81" t="s">
        <v>337</v>
      </c>
      <c r="D81" t="s">
        <v>338</v>
      </c>
      <c r="E81" t="s">
        <v>265</v>
      </c>
      <c r="F81" t="s">
        <v>88</v>
      </c>
      <c r="G81">
        <v>38.397499000000003</v>
      </c>
      <c r="H81">
        <v>-77.806663</v>
      </c>
      <c r="I81">
        <v>0</v>
      </c>
      <c r="K81" t="s">
        <v>155</v>
      </c>
      <c r="L81">
        <v>1</v>
      </c>
      <c r="M81" t="s">
        <v>90</v>
      </c>
      <c r="N81" t="s">
        <v>91</v>
      </c>
      <c r="O81" t="s">
        <v>92</v>
      </c>
      <c r="S81" t="s">
        <v>93</v>
      </c>
      <c r="T81" t="s">
        <v>159</v>
      </c>
      <c r="U81" t="s">
        <v>103</v>
      </c>
    </row>
    <row r="82" spans="1:21" x14ac:dyDescent="0.3">
      <c r="A82" t="s">
        <v>339</v>
      </c>
      <c r="B82" s="6" t="str">
        <f>HYPERLINK("http://data.ntsb.gov/carol-repgen/api/Aviation/ReportMain/GenerateNewestReport/98975/pdf","AccidentReport")</f>
        <v>AccidentReport</v>
      </c>
      <c r="C82" t="s">
        <v>337</v>
      </c>
      <c r="D82" t="s">
        <v>340</v>
      </c>
      <c r="E82" t="s">
        <v>176</v>
      </c>
      <c r="F82" t="s">
        <v>88</v>
      </c>
      <c r="G82">
        <v>48.160831000000002</v>
      </c>
      <c r="H82">
        <v>-122.159164</v>
      </c>
      <c r="K82" t="s">
        <v>89</v>
      </c>
      <c r="L82">
        <v>1</v>
      </c>
      <c r="M82" t="s">
        <v>90</v>
      </c>
      <c r="N82" t="s">
        <v>91</v>
      </c>
      <c r="O82" t="s">
        <v>92</v>
      </c>
      <c r="S82" t="s">
        <v>108</v>
      </c>
      <c r="T82" t="s">
        <v>220</v>
      </c>
      <c r="U82" t="s">
        <v>222</v>
      </c>
    </row>
    <row r="83" spans="1:21" x14ac:dyDescent="0.3">
      <c r="A83" t="s">
        <v>341</v>
      </c>
      <c r="B83" s="6" t="str">
        <f>HYPERLINK("http://data.ntsb.gov/carol-repgen/api/Aviation/ReportMain/GenerateNewestReport/99008/pdf","AccidentReport")</f>
        <v>AccidentReport</v>
      </c>
      <c r="C83" t="s">
        <v>337</v>
      </c>
      <c r="D83" t="s">
        <v>342</v>
      </c>
      <c r="E83" t="s">
        <v>203</v>
      </c>
      <c r="F83" t="s">
        <v>88</v>
      </c>
      <c r="G83">
        <v>45.928054000000003</v>
      </c>
      <c r="H83">
        <v>-89.730834000000002</v>
      </c>
      <c r="K83" t="s">
        <v>89</v>
      </c>
      <c r="L83">
        <v>1</v>
      </c>
      <c r="M83" t="s">
        <v>90</v>
      </c>
      <c r="N83" t="s">
        <v>91</v>
      </c>
      <c r="O83" t="s">
        <v>92</v>
      </c>
      <c r="S83" t="s">
        <v>108</v>
      </c>
      <c r="T83" t="s">
        <v>94</v>
      </c>
      <c r="U83" t="s">
        <v>248</v>
      </c>
    </row>
    <row r="84" spans="1:21" x14ac:dyDescent="0.3">
      <c r="A84" t="s">
        <v>343</v>
      </c>
      <c r="B84" s="6" t="str">
        <f>HYPERLINK("http://data.ntsb.gov/carol-repgen/api/Aviation/ReportMain/GenerateNewestReport/99026/pdf","AccidentReport")</f>
        <v>AccidentReport</v>
      </c>
      <c r="C84" t="s">
        <v>337</v>
      </c>
      <c r="D84" t="s">
        <v>344</v>
      </c>
      <c r="E84" t="s">
        <v>345</v>
      </c>
      <c r="F84" t="s">
        <v>88</v>
      </c>
      <c r="G84">
        <v>41.287497999999999</v>
      </c>
      <c r="H84">
        <v>-105.60749800000001</v>
      </c>
      <c r="K84" t="s">
        <v>89</v>
      </c>
      <c r="L84">
        <v>1</v>
      </c>
      <c r="M84" t="s">
        <v>90</v>
      </c>
      <c r="N84" t="s">
        <v>91</v>
      </c>
      <c r="O84" t="s">
        <v>92</v>
      </c>
      <c r="S84" t="s">
        <v>108</v>
      </c>
      <c r="T84" t="s">
        <v>139</v>
      </c>
      <c r="U84" t="s">
        <v>186</v>
      </c>
    </row>
    <row r="85" spans="1:21" x14ac:dyDescent="0.3">
      <c r="A85" t="s">
        <v>346</v>
      </c>
      <c r="B85" s="6" t="str">
        <f>HYPERLINK("http://data.ntsb.gov/carol-repgen/api/Aviation/ReportMain/GenerateNewestReport/99038/pdf","AccidentReport")</f>
        <v>AccidentReport</v>
      </c>
      <c r="C85" t="s">
        <v>347</v>
      </c>
      <c r="D85" t="s">
        <v>348</v>
      </c>
      <c r="E85" t="s">
        <v>349</v>
      </c>
      <c r="F85" t="s">
        <v>88</v>
      </c>
      <c r="G85">
        <v>39.750830999999998</v>
      </c>
      <c r="H85">
        <v>-84.852217999999993</v>
      </c>
      <c r="K85" t="s">
        <v>89</v>
      </c>
      <c r="L85">
        <v>1</v>
      </c>
      <c r="M85" t="s">
        <v>90</v>
      </c>
      <c r="N85" t="s">
        <v>91</v>
      </c>
      <c r="O85" t="s">
        <v>92</v>
      </c>
      <c r="S85" t="s">
        <v>173</v>
      </c>
      <c r="T85" t="s">
        <v>247</v>
      </c>
      <c r="U85" t="s">
        <v>95</v>
      </c>
    </row>
    <row r="86" spans="1:21" x14ac:dyDescent="0.3">
      <c r="A86" t="s">
        <v>350</v>
      </c>
      <c r="B86" s="6" t="str">
        <f>HYPERLINK("http://data.ntsb.gov/carol-repgen/api/Aviation/ReportMain/GenerateNewestReport/99000/pdf","AccidentReport")</f>
        <v>AccidentReport</v>
      </c>
      <c r="C86" t="s">
        <v>351</v>
      </c>
      <c r="D86" t="s">
        <v>352</v>
      </c>
      <c r="E86" t="s">
        <v>154</v>
      </c>
      <c r="F86" t="s">
        <v>88</v>
      </c>
      <c r="G86">
        <v>33.485278999999998</v>
      </c>
      <c r="H86">
        <v>-101.661666</v>
      </c>
      <c r="K86" t="s">
        <v>89</v>
      </c>
      <c r="L86">
        <v>1</v>
      </c>
      <c r="M86" t="s">
        <v>90</v>
      </c>
      <c r="N86" t="s">
        <v>91</v>
      </c>
      <c r="O86" t="s">
        <v>92</v>
      </c>
      <c r="S86" t="s">
        <v>93</v>
      </c>
      <c r="T86" t="s">
        <v>247</v>
      </c>
      <c r="U86" t="s">
        <v>95</v>
      </c>
    </row>
    <row r="87" spans="1:21" x14ac:dyDescent="0.3">
      <c r="A87" t="s">
        <v>353</v>
      </c>
      <c r="B87" s="6" t="str">
        <f>HYPERLINK("http://data.ntsb.gov/carol-repgen/api/Aviation/ReportMain/GenerateNewestReport/98998/pdf","AccidentReport")</f>
        <v>AccidentReport</v>
      </c>
      <c r="C87" t="s">
        <v>354</v>
      </c>
      <c r="D87" t="s">
        <v>355</v>
      </c>
      <c r="E87" t="s">
        <v>356</v>
      </c>
      <c r="F87" t="s">
        <v>88</v>
      </c>
      <c r="G87">
        <v>34.013331999999998</v>
      </c>
      <c r="H87">
        <v>-84.593329999999995</v>
      </c>
      <c r="K87" t="s">
        <v>89</v>
      </c>
      <c r="L87">
        <v>1</v>
      </c>
      <c r="M87" t="s">
        <v>90</v>
      </c>
      <c r="N87" t="s">
        <v>91</v>
      </c>
      <c r="O87" t="s">
        <v>92</v>
      </c>
      <c r="S87" t="s">
        <v>108</v>
      </c>
      <c r="T87" t="s">
        <v>109</v>
      </c>
      <c r="U87" t="s">
        <v>95</v>
      </c>
    </row>
    <row r="88" spans="1:21" x14ac:dyDescent="0.3">
      <c r="A88" t="s">
        <v>357</v>
      </c>
      <c r="B88" s="6" t="str">
        <f>HYPERLINK("http://data.ntsb.gov/carol-repgen/api/Aviation/ReportMain/GenerateNewestReport/99016/pdf","AccidentReport")</f>
        <v>AccidentReport</v>
      </c>
      <c r="C88" t="s">
        <v>358</v>
      </c>
      <c r="D88" t="s">
        <v>359</v>
      </c>
      <c r="E88" t="s">
        <v>360</v>
      </c>
      <c r="F88" t="s">
        <v>88</v>
      </c>
      <c r="G88">
        <v>41.018889999999999</v>
      </c>
      <c r="H88">
        <v>-89.385833000000005</v>
      </c>
      <c r="K88" t="s">
        <v>89</v>
      </c>
      <c r="L88">
        <v>1</v>
      </c>
      <c r="M88" t="s">
        <v>90</v>
      </c>
      <c r="N88" t="s">
        <v>91</v>
      </c>
      <c r="O88" t="s">
        <v>92</v>
      </c>
      <c r="S88" t="s">
        <v>108</v>
      </c>
      <c r="T88" t="s">
        <v>94</v>
      </c>
      <c r="U88" t="s">
        <v>95</v>
      </c>
    </row>
    <row r="89" spans="1:21" x14ac:dyDescent="0.3">
      <c r="A89" t="s">
        <v>361</v>
      </c>
      <c r="B89" s="6" t="str">
        <f>HYPERLINK("http://data.ntsb.gov/carol-repgen/api/Aviation/ReportMain/GenerateNewestReport/98986/pdf","AccidentReport")</f>
        <v>AccidentReport</v>
      </c>
      <c r="C89" t="s">
        <v>362</v>
      </c>
      <c r="D89" t="s">
        <v>363</v>
      </c>
      <c r="E89" t="s">
        <v>154</v>
      </c>
      <c r="F89" t="s">
        <v>88</v>
      </c>
      <c r="G89">
        <v>35.906112</v>
      </c>
      <c r="H89">
        <v>-100.5736</v>
      </c>
      <c r="I89">
        <v>2</v>
      </c>
      <c r="J89">
        <v>0</v>
      </c>
      <c r="K89" t="s">
        <v>107</v>
      </c>
      <c r="L89">
        <v>1</v>
      </c>
      <c r="M89" t="s">
        <v>147</v>
      </c>
      <c r="N89" t="s">
        <v>91</v>
      </c>
      <c r="O89" t="s">
        <v>92</v>
      </c>
      <c r="S89" t="s">
        <v>108</v>
      </c>
      <c r="T89" t="s">
        <v>102</v>
      </c>
      <c r="U89" t="s">
        <v>103</v>
      </c>
    </row>
    <row r="90" spans="1:21" x14ac:dyDescent="0.3">
      <c r="A90" t="s">
        <v>364</v>
      </c>
      <c r="B90" s="6" t="str">
        <f>HYPERLINK("http://data.ntsb.gov/carol-repgen/api/Aviation/ReportMain/GenerateNewestReport/99040/pdf","AccidentReport")</f>
        <v>AccidentReport</v>
      </c>
      <c r="C90" t="s">
        <v>362</v>
      </c>
      <c r="D90" t="s">
        <v>365</v>
      </c>
      <c r="E90" t="s">
        <v>154</v>
      </c>
      <c r="F90" t="s">
        <v>88</v>
      </c>
      <c r="G90">
        <v>30.543056</v>
      </c>
      <c r="H90">
        <v>-98.354445999999996</v>
      </c>
      <c r="J90">
        <v>2</v>
      </c>
      <c r="K90" t="s">
        <v>99</v>
      </c>
      <c r="L90">
        <v>1</v>
      </c>
      <c r="M90" t="s">
        <v>90</v>
      </c>
      <c r="N90" t="s">
        <v>91</v>
      </c>
      <c r="O90" t="s">
        <v>92</v>
      </c>
      <c r="S90" t="s">
        <v>108</v>
      </c>
      <c r="T90" t="s">
        <v>159</v>
      </c>
      <c r="U90" t="s">
        <v>248</v>
      </c>
    </row>
    <row r="91" spans="1:21" x14ac:dyDescent="0.3">
      <c r="A91" t="s">
        <v>366</v>
      </c>
      <c r="B91" s="6" t="str">
        <f>HYPERLINK("http://data.ntsb.gov/carol-repgen/api/Aviation/ReportMain/GenerateNewestReport/98997/pdf","AccidentReport")</f>
        <v>AccidentReport</v>
      </c>
      <c r="C91" t="s">
        <v>362</v>
      </c>
      <c r="D91" t="s">
        <v>367</v>
      </c>
      <c r="E91" t="s">
        <v>98</v>
      </c>
      <c r="F91" t="s">
        <v>88</v>
      </c>
      <c r="G91">
        <v>28.779443000000001</v>
      </c>
      <c r="H91">
        <v>-81.235832000000002</v>
      </c>
      <c r="K91" t="s">
        <v>89</v>
      </c>
      <c r="L91">
        <v>1</v>
      </c>
      <c r="M91" t="s">
        <v>90</v>
      </c>
      <c r="N91" t="s">
        <v>91</v>
      </c>
      <c r="O91" t="s">
        <v>92</v>
      </c>
      <c r="S91" t="s">
        <v>93</v>
      </c>
      <c r="T91" t="s">
        <v>94</v>
      </c>
      <c r="U91" t="s">
        <v>95</v>
      </c>
    </row>
    <row r="92" spans="1:21" x14ac:dyDescent="0.3">
      <c r="A92" t="s">
        <v>368</v>
      </c>
      <c r="B92" s="6" t="str">
        <f>HYPERLINK("http://data.ntsb.gov/carol-repgen/api/Aviation/ReportMain/GenerateNewestReport/98991/pdf","AccidentReport")</f>
        <v>AccidentReport</v>
      </c>
      <c r="C92" t="s">
        <v>362</v>
      </c>
      <c r="D92" t="s">
        <v>369</v>
      </c>
      <c r="E92" t="s">
        <v>290</v>
      </c>
      <c r="F92" t="s">
        <v>88</v>
      </c>
      <c r="G92">
        <v>39.334167000000001</v>
      </c>
      <c r="H92">
        <v>-114.78055000000001</v>
      </c>
      <c r="I92">
        <v>2</v>
      </c>
      <c r="K92" t="s">
        <v>107</v>
      </c>
      <c r="L92">
        <v>1</v>
      </c>
      <c r="M92" t="s">
        <v>147</v>
      </c>
      <c r="N92" t="s">
        <v>91</v>
      </c>
      <c r="O92" t="s">
        <v>92</v>
      </c>
      <c r="S92" t="s">
        <v>108</v>
      </c>
      <c r="T92" t="s">
        <v>279</v>
      </c>
      <c r="U92" t="s">
        <v>186</v>
      </c>
    </row>
    <row r="93" spans="1:21" x14ac:dyDescent="0.3">
      <c r="A93" t="s">
        <v>370</v>
      </c>
      <c r="B93" s="6" t="str">
        <f>HYPERLINK("http://data.ntsb.gov/carol-repgen/api/Aviation/ReportMain/GenerateNewestReport/99001/pdf","AccidentReport")</f>
        <v>AccidentReport</v>
      </c>
      <c r="C93" t="s">
        <v>371</v>
      </c>
      <c r="D93" t="s">
        <v>372</v>
      </c>
      <c r="E93" t="s">
        <v>98</v>
      </c>
      <c r="F93" t="s">
        <v>88</v>
      </c>
      <c r="G93">
        <v>27.975833000000002</v>
      </c>
      <c r="H93">
        <v>-82.756384999999995</v>
      </c>
      <c r="K93" t="s">
        <v>89</v>
      </c>
      <c r="L93">
        <v>1</v>
      </c>
      <c r="M93" t="s">
        <v>90</v>
      </c>
      <c r="N93" t="s">
        <v>100</v>
      </c>
      <c r="O93" t="s">
        <v>92</v>
      </c>
      <c r="S93" t="s">
        <v>93</v>
      </c>
      <c r="T93" t="s">
        <v>102</v>
      </c>
      <c r="U93" t="s">
        <v>221</v>
      </c>
    </row>
    <row r="94" spans="1:21" x14ac:dyDescent="0.3">
      <c r="A94" t="s">
        <v>373</v>
      </c>
      <c r="B94" s="6" t="str">
        <f>HYPERLINK("http://data.ntsb.gov/carol-repgen/api/Aviation/ReportMain/GenerateNewestReport/99004/pdf","AccidentReport")</f>
        <v>AccidentReport</v>
      </c>
      <c r="C94" t="s">
        <v>374</v>
      </c>
      <c r="D94" t="s">
        <v>375</v>
      </c>
      <c r="E94" t="s">
        <v>165</v>
      </c>
      <c r="F94" t="s">
        <v>88</v>
      </c>
      <c r="G94">
        <v>36.039721999999998</v>
      </c>
      <c r="H94">
        <v>-95.982498000000007</v>
      </c>
      <c r="K94" t="s">
        <v>89</v>
      </c>
      <c r="L94">
        <v>1</v>
      </c>
      <c r="M94" t="s">
        <v>90</v>
      </c>
      <c r="N94" t="s">
        <v>91</v>
      </c>
      <c r="O94" t="s">
        <v>92</v>
      </c>
      <c r="S94" t="s">
        <v>173</v>
      </c>
      <c r="T94" t="s">
        <v>102</v>
      </c>
      <c r="U94" t="s">
        <v>119</v>
      </c>
    </row>
    <row r="95" spans="1:21" x14ac:dyDescent="0.3">
      <c r="A95" t="s">
        <v>376</v>
      </c>
      <c r="B95" s="6" t="str">
        <f>HYPERLINK("http://data.ntsb.gov/carol-repgen/api/Aviation/ReportMain/GenerateNewestReport/99010/pdf","AccidentReport")</f>
        <v>AccidentReport</v>
      </c>
      <c r="C95" t="s">
        <v>377</v>
      </c>
      <c r="D95" t="s">
        <v>378</v>
      </c>
      <c r="E95" t="s">
        <v>349</v>
      </c>
      <c r="F95" t="s">
        <v>88</v>
      </c>
      <c r="G95">
        <v>41.527777999999998</v>
      </c>
      <c r="H95">
        <v>-85.757221999999999</v>
      </c>
      <c r="I95">
        <v>1</v>
      </c>
      <c r="K95" t="s">
        <v>107</v>
      </c>
      <c r="L95">
        <v>1</v>
      </c>
      <c r="M95" t="s">
        <v>147</v>
      </c>
      <c r="N95" t="s">
        <v>91</v>
      </c>
      <c r="O95" t="s">
        <v>92</v>
      </c>
      <c r="S95" t="s">
        <v>108</v>
      </c>
      <c r="T95" t="s">
        <v>332</v>
      </c>
      <c r="U95" t="s">
        <v>119</v>
      </c>
    </row>
    <row r="96" spans="1:21" x14ac:dyDescent="0.3">
      <c r="A96" t="s">
        <v>379</v>
      </c>
      <c r="B96" s="6" t="str">
        <f>HYPERLINK("http://data.ntsb.gov/carol-repgen/api/Aviation/ReportMain/GenerateNewestReport/99017/pdf","AccidentReport")</f>
        <v>AccidentReport</v>
      </c>
      <c r="C96" t="s">
        <v>377</v>
      </c>
      <c r="D96" t="s">
        <v>380</v>
      </c>
      <c r="E96" t="s">
        <v>131</v>
      </c>
      <c r="F96" t="s">
        <v>88</v>
      </c>
      <c r="G96">
        <v>39.563887999999999</v>
      </c>
      <c r="H96">
        <v>-104.843887</v>
      </c>
      <c r="J96">
        <v>1</v>
      </c>
      <c r="K96" t="s">
        <v>99</v>
      </c>
      <c r="L96">
        <v>1</v>
      </c>
      <c r="M96" t="s">
        <v>90</v>
      </c>
      <c r="N96" t="s">
        <v>91</v>
      </c>
      <c r="O96" t="s">
        <v>92</v>
      </c>
      <c r="S96" t="s">
        <v>93</v>
      </c>
      <c r="T96" t="s">
        <v>381</v>
      </c>
      <c r="U96" t="s">
        <v>150</v>
      </c>
    </row>
    <row r="97" spans="1:21" x14ac:dyDescent="0.3">
      <c r="A97" t="s">
        <v>382</v>
      </c>
      <c r="B97" s="6" t="str">
        <f>HYPERLINK("http://data.ntsb.gov/carol-repgen/api/Aviation/ReportMain/GenerateNewestReport/99005/pdf","AccidentReport")</f>
        <v>AccidentReport</v>
      </c>
      <c r="C97" t="s">
        <v>377</v>
      </c>
      <c r="D97" t="s">
        <v>383</v>
      </c>
      <c r="E97" t="s">
        <v>260</v>
      </c>
      <c r="F97" t="s">
        <v>88</v>
      </c>
      <c r="G97">
        <v>38.183055000000003</v>
      </c>
      <c r="H97">
        <v>-84.900001000000003</v>
      </c>
      <c r="K97" t="s">
        <v>155</v>
      </c>
      <c r="L97">
        <v>1</v>
      </c>
      <c r="M97" t="s">
        <v>90</v>
      </c>
      <c r="N97" t="s">
        <v>91</v>
      </c>
      <c r="O97" t="s">
        <v>92</v>
      </c>
      <c r="S97" t="s">
        <v>93</v>
      </c>
      <c r="T97" t="s">
        <v>102</v>
      </c>
      <c r="U97" t="s">
        <v>119</v>
      </c>
    </row>
    <row r="98" spans="1:21" x14ac:dyDescent="0.3">
      <c r="A98" t="s">
        <v>384</v>
      </c>
      <c r="B98" s="6" t="str">
        <f>HYPERLINK("http://data.ntsb.gov/carol-repgen/api/Aviation/ReportMain/GenerateNewestReport/99018/pdf","AccidentReport")</f>
        <v>AccidentReport</v>
      </c>
      <c r="C98" t="s">
        <v>377</v>
      </c>
      <c r="D98" t="s">
        <v>385</v>
      </c>
      <c r="E98" t="s">
        <v>106</v>
      </c>
      <c r="F98" t="s">
        <v>88</v>
      </c>
      <c r="G98">
        <v>37.693331999999998</v>
      </c>
      <c r="H98">
        <v>-121.820274</v>
      </c>
      <c r="K98" t="s">
        <v>89</v>
      </c>
      <c r="L98">
        <v>1</v>
      </c>
      <c r="M98" t="s">
        <v>90</v>
      </c>
      <c r="N98" t="s">
        <v>91</v>
      </c>
      <c r="O98" t="s">
        <v>92</v>
      </c>
      <c r="S98" t="s">
        <v>108</v>
      </c>
      <c r="T98" t="s">
        <v>247</v>
      </c>
      <c r="U98" t="s">
        <v>95</v>
      </c>
    </row>
    <row r="99" spans="1:21" x14ac:dyDescent="0.3">
      <c r="A99" t="s">
        <v>386</v>
      </c>
      <c r="B99" s="6" t="str">
        <f>HYPERLINK("http://data.ntsb.gov/carol-repgen/api/Aviation/ReportMain/GenerateNewestReport/99023/pdf","AccidentReport")</f>
        <v>AccidentReport</v>
      </c>
      <c r="C99" t="s">
        <v>377</v>
      </c>
      <c r="D99" t="s">
        <v>387</v>
      </c>
      <c r="E99" t="s">
        <v>251</v>
      </c>
      <c r="F99" t="s">
        <v>88</v>
      </c>
      <c r="G99">
        <v>45.77111</v>
      </c>
      <c r="H99">
        <v>-122.861946</v>
      </c>
      <c r="K99" t="s">
        <v>89</v>
      </c>
      <c r="L99">
        <v>1</v>
      </c>
      <c r="M99" t="s">
        <v>90</v>
      </c>
      <c r="N99" t="s">
        <v>91</v>
      </c>
      <c r="O99" t="s">
        <v>92</v>
      </c>
      <c r="S99" t="s">
        <v>93</v>
      </c>
      <c r="T99" t="s">
        <v>94</v>
      </c>
      <c r="U99" t="s">
        <v>95</v>
      </c>
    </row>
    <row r="100" spans="1:21" x14ac:dyDescent="0.3">
      <c r="A100" t="s">
        <v>388</v>
      </c>
      <c r="B100" s="6" t="str">
        <f>HYPERLINK("http://data.ntsb.gov/carol-repgen/api/Aviation/ReportMain/GenerateNewestReport/99025/pdf","AccidentReport")</f>
        <v>AccidentReport</v>
      </c>
      <c r="C100" t="s">
        <v>377</v>
      </c>
      <c r="D100" t="s">
        <v>389</v>
      </c>
      <c r="E100" t="s">
        <v>390</v>
      </c>
      <c r="F100" t="s">
        <v>88</v>
      </c>
      <c r="G100">
        <v>40.797499999999999</v>
      </c>
      <c r="H100">
        <v>-74.415831999999995</v>
      </c>
      <c r="K100" t="s">
        <v>89</v>
      </c>
      <c r="L100">
        <v>1</v>
      </c>
      <c r="M100" t="s">
        <v>90</v>
      </c>
      <c r="N100" t="s">
        <v>91</v>
      </c>
      <c r="O100" t="s">
        <v>92</v>
      </c>
      <c r="S100" t="s">
        <v>93</v>
      </c>
      <c r="T100" t="s">
        <v>94</v>
      </c>
      <c r="U100" t="s">
        <v>248</v>
      </c>
    </row>
    <row r="101" spans="1:21" x14ac:dyDescent="0.3">
      <c r="A101" t="s">
        <v>391</v>
      </c>
      <c r="B101" s="6" t="str">
        <f>HYPERLINK("http://data.ntsb.gov/carol-repgen/api/Aviation/ReportMain/GenerateNewestReport/99009/pdf","AccidentReport")</f>
        <v>AccidentReport</v>
      </c>
      <c r="C101" t="s">
        <v>377</v>
      </c>
      <c r="D101" t="s">
        <v>392</v>
      </c>
      <c r="E101" t="s">
        <v>106</v>
      </c>
      <c r="F101" t="s">
        <v>88</v>
      </c>
      <c r="G101">
        <v>35.047499999999999</v>
      </c>
      <c r="H101">
        <v>-118.59694</v>
      </c>
      <c r="I101">
        <v>3</v>
      </c>
      <c r="K101" t="s">
        <v>107</v>
      </c>
      <c r="L101">
        <v>1</v>
      </c>
      <c r="M101" t="s">
        <v>147</v>
      </c>
      <c r="N101" t="s">
        <v>91</v>
      </c>
      <c r="O101" t="s">
        <v>92</v>
      </c>
      <c r="S101" t="s">
        <v>173</v>
      </c>
      <c r="T101" t="s">
        <v>279</v>
      </c>
      <c r="U101" t="s">
        <v>186</v>
      </c>
    </row>
    <row r="102" spans="1:21" x14ac:dyDescent="0.3">
      <c r="A102" t="s">
        <v>393</v>
      </c>
      <c r="B102" s="6" t="str">
        <f>HYPERLINK("http://data.ntsb.gov/carol-repgen/api/Aviation/ReportMain/GenerateNewestReport/99024/pdf","AccidentReport")</f>
        <v>AccidentReport</v>
      </c>
      <c r="C102" t="s">
        <v>377</v>
      </c>
      <c r="D102" t="s">
        <v>394</v>
      </c>
      <c r="E102" t="s">
        <v>395</v>
      </c>
      <c r="F102" t="s">
        <v>88</v>
      </c>
      <c r="G102">
        <v>20.110834000000001</v>
      </c>
      <c r="H102">
        <v>-155.55416</v>
      </c>
      <c r="J102">
        <v>1</v>
      </c>
      <c r="K102" t="s">
        <v>99</v>
      </c>
      <c r="L102">
        <v>1</v>
      </c>
      <c r="M102" t="s">
        <v>90</v>
      </c>
      <c r="N102" t="s">
        <v>100</v>
      </c>
      <c r="O102" t="s">
        <v>92</v>
      </c>
      <c r="S102" t="s">
        <v>166</v>
      </c>
      <c r="T102" t="s">
        <v>159</v>
      </c>
      <c r="U102" t="s">
        <v>119</v>
      </c>
    </row>
    <row r="103" spans="1:21" x14ac:dyDescent="0.3">
      <c r="A103" t="s">
        <v>396</v>
      </c>
      <c r="B103" s="6" t="str">
        <f>HYPERLINK("http://data.ntsb.gov/carol-repgen/api/Aviation/ReportMain/GenerateNewestReport/99027/pdf","AccidentReport")</f>
        <v>AccidentReport</v>
      </c>
      <c r="C103" t="s">
        <v>397</v>
      </c>
      <c r="D103" t="s">
        <v>398</v>
      </c>
      <c r="E103" t="s">
        <v>399</v>
      </c>
      <c r="F103" t="s">
        <v>88</v>
      </c>
      <c r="G103">
        <v>39.427222999999998</v>
      </c>
      <c r="H103">
        <v>-101.05278</v>
      </c>
      <c r="K103" t="s">
        <v>89</v>
      </c>
      <c r="L103">
        <v>1</v>
      </c>
      <c r="M103" t="s">
        <v>90</v>
      </c>
      <c r="N103" t="s">
        <v>91</v>
      </c>
      <c r="O103" t="s">
        <v>92</v>
      </c>
      <c r="S103" t="s">
        <v>166</v>
      </c>
      <c r="T103" t="s">
        <v>139</v>
      </c>
      <c r="U103" t="s">
        <v>248</v>
      </c>
    </row>
    <row r="104" spans="1:21" x14ac:dyDescent="0.3">
      <c r="A104" t="s">
        <v>400</v>
      </c>
      <c r="B104" s="6" t="str">
        <f>HYPERLINK("http://data.ntsb.gov/carol-repgen/api/Aviation/ReportMain/GenerateNewestReport/99015/pdf","AccidentReport")</f>
        <v>AccidentReport</v>
      </c>
      <c r="C104" t="s">
        <v>397</v>
      </c>
      <c r="D104" t="s">
        <v>401</v>
      </c>
      <c r="E104" t="s">
        <v>402</v>
      </c>
      <c r="F104" t="s">
        <v>88</v>
      </c>
      <c r="G104">
        <v>32.494166999999997</v>
      </c>
      <c r="H104">
        <v>-80.991111000000004</v>
      </c>
      <c r="K104" t="s">
        <v>89</v>
      </c>
      <c r="L104">
        <v>1</v>
      </c>
      <c r="M104" t="s">
        <v>90</v>
      </c>
      <c r="N104" t="s">
        <v>91</v>
      </c>
      <c r="O104" t="s">
        <v>92</v>
      </c>
      <c r="S104" t="s">
        <v>93</v>
      </c>
      <c r="T104" t="s">
        <v>102</v>
      </c>
      <c r="U104" t="s">
        <v>95</v>
      </c>
    </row>
    <row r="105" spans="1:21" x14ac:dyDescent="0.3">
      <c r="A105" t="s">
        <v>403</v>
      </c>
      <c r="B105" s="6" t="str">
        <f>HYPERLINK("http://data.ntsb.gov/carol-repgen/api/Aviation/ReportMain/GenerateNewestReport/99011/pdf","AccidentReport")</f>
        <v>AccidentReport</v>
      </c>
      <c r="C105" t="s">
        <v>404</v>
      </c>
      <c r="D105" t="s">
        <v>405</v>
      </c>
      <c r="E105" t="s">
        <v>98</v>
      </c>
      <c r="F105" t="s">
        <v>88</v>
      </c>
      <c r="G105">
        <v>28.05611</v>
      </c>
      <c r="H105">
        <v>-81.753333999999995</v>
      </c>
      <c r="I105">
        <v>1</v>
      </c>
      <c r="J105">
        <v>1</v>
      </c>
      <c r="K105" t="s">
        <v>107</v>
      </c>
      <c r="L105">
        <v>1</v>
      </c>
      <c r="M105" t="s">
        <v>90</v>
      </c>
      <c r="N105" t="s">
        <v>91</v>
      </c>
      <c r="O105" t="s">
        <v>92</v>
      </c>
      <c r="S105" t="s">
        <v>93</v>
      </c>
      <c r="T105" t="s">
        <v>159</v>
      </c>
      <c r="U105" t="s">
        <v>150</v>
      </c>
    </row>
    <row r="106" spans="1:21" x14ac:dyDescent="0.3">
      <c r="A106" t="s">
        <v>406</v>
      </c>
      <c r="B106" s="6" t="str">
        <f>HYPERLINK("http://data.ntsb.gov/carol-repgen/api/Aviation/ReportMain/GenerateNewestReport/99012/pdf","AccidentReport")</f>
        <v>AccidentReport</v>
      </c>
      <c r="C106" t="s">
        <v>404</v>
      </c>
      <c r="D106" t="s">
        <v>407</v>
      </c>
      <c r="E106" t="s">
        <v>408</v>
      </c>
      <c r="F106" t="s">
        <v>88</v>
      </c>
      <c r="G106">
        <v>42.004443999999999</v>
      </c>
      <c r="H106">
        <v>-71.199721999999994</v>
      </c>
      <c r="I106">
        <v>2</v>
      </c>
      <c r="K106" t="s">
        <v>107</v>
      </c>
      <c r="L106">
        <v>1</v>
      </c>
      <c r="M106" t="s">
        <v>90</v>
      </c>
      <c r="N106" t="s">
        <v>91</v>
      </c>
      <c r="O106" t="s">
        <v>92</v>
      </c>
      <c r="S106" t="s">
        <v>93</v>
      </c>
      <c r="T106" t="s">
        <v>102</v>
      </c>
      <c r="U106" t="s">
        <v>150</v>
      </c>
    </row>
    <row r="107" spans="1:21" x14ac:dyDescent="0.3">
      <c r="A107" t="s">
        <v>409</v>
      </c>
      <c r="B107" s="6" t="str">
        <f>HYPERLINK("http://data.ntsb.gov/carol-repgen/api/Aviation/ReportMain/GenerateNewestReport/99019/pdf","AccidentReport")</f>
        <v>AccidentReport</v>
      </c>
      <c r="C107" t="s">
        <v>404</v>
      </c>
      <c r="D107" t="s">
        <v>410</v>
      </c>
      <c r="E107" t="s">
        <v>180</v>
      </c>
      <c r="F107" t="s">
        <v>88</v>
      </c>
      <c r="G107">
        <v>45.534720999999998</v>
      </c>
      <c r="H107">
        <v>-98.613051999999996</v>
      </c>
      <c r="K107" t="s">
        <v>155</v>
      </c>
      <c r="L107">
        <v>1</v>
      </c>
      <c r="M107" t="s">
        <v>90</v>
      </c>
      <c r="N107" t="s">
        <v>91</v>
      </c>
      <c r="O107" t="s">
        <v>92</v>
      </c>
      <c r="S107" t="s">
        <v>108</v>
      </c>
      <c r="T107" t="s">
        <v>411</v>
      </c>
      <c r="U107" t="s">
        <v>95</v>
      </c>
    </row>
    <row r="108" spans="1:21" x14ac:dyDescent="0.3">
      <c r="A108" t="s">
        <v>412</v>
      </c>
      <c r="B108" s="6" t="str">
        <f>HYPERLINK("http://data.ntsb.gov/carol-repgen/api/Aviation/ReportMain/GenerateNewestReport/99032/pdf","AccidentReport")</f>
        <v>AccidentReport</v>
      </c>
      <c r="C108" t="s">
        <v>404</v>
      </c>
      <c r="D108" t="s">
        <v>413</v>
      </c>
      <c r="E108" t="s">
        <v>390</v>
      </c>
      <c r="F108" t="s">
        <v>88</v>
      </c>
      <c r="G108">
        <v>40.399166000000001</v>
      </c>
      <c r="H108">
        <v>-74.658889000000002</v>
      </c>
      <c r="K108" t="s">
        <v>89</v>
      </c>
      <c r="L108">
        <v>1</v>
      </c>
      <c r="M108" t="s">
        <v>90</v>
      </c>
      <c r="N108" t="s">
        <v>91</v>
      </c>
      <c r="O108" t="s">
        <v>92</v>
      </c>
      <c r="S108" t="s">
        <v>108</v>
      </c>
      <c r="T108" t="s">
        <v>414</v>
      </c>
      <c r="U108" t="s">
        <v>95</v>
      </c>
    </row>
    <row r="109" spans="1:21" x14ac:dyDescent="0.3">
      <c r="A109" t="s">
        <v>415</v>
      </c>
      <c r="B109" s="6" t="str">
        <f>HYPERLINK("http://data.ntsb.gov/carol-repgen/api/Aviation/ReportMain/GenerateNewestReport/99021/pdf","AccidentReport")</f>
        <v>AccidentReport</v>
      </c>
      <c r="C109" t="s">
        <v>416</v>
      </c>
      <c r="D109" t="s">
        <v>417</v>
      </c>
      <c r="E109" t="s">
        <v>360</v>
      </c>
      <c r="F109" t="s">
        <v>88</v>
      </c>
      <c r="G109">
        <v>39.841667000000001</v>
      </c>
      <c r="H109">
        <v>-89.675003000000004</v>
      </c>
      <c r="K109" t="s">
        <v>89</v>
      </c>
      <c r="L109">
        <v>1</v>
      </c>
      <c r="M109" t="s">
        <v>90</v>
      </c>
      <c r="N109" t="s">
        <v>91</v>
      </c>
      <c r="O109" t="s">
        <v>92</v>
      </c>
      <c r="S109" t="s">
        <v>418</v>
      </c>
      <c r="T109" t="s">
        <v>94</v>
      </c>
      <c r="U109" t="s">
        <v>221</v>
      </c>
    </row>
    <row r="110" spans="1:21" x14ac:dyDescent="0.3">
      <c r="A110" t="s">
        <v>419</v>
      </c>
      <c r="B110" s="6" t="str">
        <f>HYPERLINK("http://data.ntsb.gov/carol-repgen/api/Aviation/ReportMain/GenerateNewestReport/99029/pdf","AccidentReport")</f>
        <v>AccidentReport</v>
      </c>
      <c r="C110" t="s">
        <v>420</v>
      </c>
      <c r="D110" t="s">
        <v>401</v>
      </c>
      <c r="E110" t="s">
        <v>402</v>
      </c>
      <c r="F110" t="s">
        <v>88</v>
      </c>
      <c r="G110">
        <v>32.491110999999997</v>
      </c>
      <c r="H110">
        <v>-80.993613999999994</v>
      </c>
      <c r="K110" t="s">
        <v>89</v>
      </c>
      <c r="L110">
        <v>1</v>
      </c>
      <c r="M110" t="s">
        <v>90</v>
      </c>
      <c r="N110" t="s">
        <v>91</v>
      </c>
      <c r="O110" t="s">
        <v>295</v>
      </c>
      <c r="S110" t="s">
        <v>421</v>
      </c>
      <c r="T110" t="s">
        <v>94</v>
      </c>
      <c r="U110" t="s">
        <v>95</v>
      </c>
    </row>
    <row r="111" spans="1:21" x14ac:dyDescent="0.3">
      <c r="A111" t="s">
        <v>422</v>
      </c>
      <c r="B111" s="6" t="str">
        <f>HYPERLINK("http://data.ntsb.gov/carol-repgen/api/Aviation/ReportMain/GenerateNewestReport/99028/pdf","AccidentReport")</f>
        <v>AccidentReport</v>
      </c>
      <c r="C111" t="s">
        <v>423</v>
      </c>
      <c r="D111" t="s">
        <v>424</v>
      </c>
      <c r="E111" t="s">
        <v>260</v>
      </c>
      <c r="F111" t="s">
        <v>88</v>
      </c>
      <c r="G111">
        <v>38.228054</v>
      </c>
      <c r="H111">
        <v>-85.663612000000001</v>
      </c>
      <c r="K111" t="s">
        <v>89</v>
      </c>
      <c r="L111">
        <v>1</v>
      </c>
      <c r="M111" t="s">
        <v>90</v>
      </c>
      <c r="N111" t="s">
        <v>91</v>
      </c>
      <c r="O111" t="s">
        <v>92</v>
      </c>
      <c r="S111" t="s">
        <v>108</v>
      </c>
      <c r="T111" t="s">
        <v>159</v>
      </c>
      <c r="U111" t="s">
        <v>248</v>
      </c>
    </row>
    <row r="112" spans="1:21" x14ac:dyDescent="0.3">
      <c r="A112" t="s">
        <v>425</v>
      </c>
      <c r="B112" s="6" t="str">
        <f>HYPERLINK("http://data.ntsb.gov/carol-repgen/api/Aviation/ReportMain/GenerateNewestReport/99030/pdf","AccidentReport")</f>
        <v>AccidentReport</v>
      </c>
      <c r="C112" t="s">
        <v>426</v>
      </c>
      <c r="D112" t="s">
        <v>427</v>
      </c>
      <c r="E112" t="s">
        <v>154</v>
      </c>
      <c r="F112" t="s">
        <v>88</v>
      </c>
      <c r="G112">
        <v>29.274999000000001</v>
      </c>
      <c r="H112">
        <v>-98.877502000000007</v>
      </c>
      <c r="J112">
        <v>1</v>
      </c>
      <c r="K112" t="s">
        <v>99</v>
      </c>
      <c r="L112">
        <v>1</v>
      </c>
      <c r="M112" t="s">
        <v>90</v>
      </c>
      <c r="N112" t="s">
        <v>91</v>
      </c>
      <c r="O112" t="s">
        <v>92</v>
      </c>
      <c r="S112" t="s">
        <v>108</v>
      </c>
      <c r="T112" t="s">
        <v>102</v>
      </c>
      <c r="U112" t="s">
        <v>103</v>
      </c>
    </row>
    <row r="113" spans="1:21" x14ac:dyDescent="0.3">
      <c r="A113" t="s">
        <v>428</v>
      </c>
      <c r="B113" s="6" t="str">
        <f>HYPERLINK("http://data.ntsb.gov/carol-repgen/api/Aviation/ReportMain/GenerateNewestReport/99035/pdf","AccidentReport")</f>
        <v>AccidentReport</v>
      </c>
      <c r="C113" t="s">
        <v>429</v>
      </c>
      <c r="D113" t="s">
        <v>430</v>
      </c>
      <c r="E113" t="s">
        <v>228</v>
      </c>
      <c r="F113" t="s">
        <v>88</v>
      </c>
      <c r="G113">
        <v>32.548609999999996</v>
      </c>
      <c r="H113">
        <v>-93.761390000000006</v>
      </c>
      <c r="I113">
        <v>2</v>
      </c>
      <c r="K113" t="s">
        <v>107</v>
      </c>
      <c r="L113">
        <v>1</v>
      </c>
      <c r="M113" t="s">
        <v>90</v>
      </c>
      <c r="N113" t="s">
        <v>91</v>
      </c>
      <c r="O113" t="s">
        <v>92</v>
      </c>
      <c r="S113" t="s">
        <v>108</v>
      </c>
      <c r="T113" t="s">
        <v>102</v>
      </c>
      <c r="U113" t="s">
        <v>150</v>
      </c>
    </row>
    <row r="114" spans="1:21" x14ac:dyDescent="0.3">
      <c r="A114" t="s">
        <v>431</v>
      </c>
      <c r="B114" s="6" t="str">
        <f>HYPERLINK("http://data.ntsb.gov/carol-repgen/api/Aviation/ReportMain/GenerateNewestReport/99037/pdf","AccidentReport")</f>
        <v>AccidentReport</v>
      </c>
      <c r="C114" t="s">
        <v>429</v>
      </c>
      <c r="D114" t="s">
        <v>432</v>
      </c>
      <c r="E114" t="s">
        <v>146</v>
      </c>
      <c r="F114" t="s">
        <v>88</v>
      </c>
      <c r="G114">
        <v>35.345832000000001</v>
      </c>
      <c r="H114">
        <v>-86.270278000000005</v>
      </c>
      <c r="I114">
        <v>0</v>
      </c>
      <c r="J114">
        <v>2</v>
      </c>
      <c r="K114" t="s">
        <v>99</v>
      </c>
      <c r="L114">
        <v>1</v>
      </c>
      <c r="M114" t="s">
        <v>90</v>
      </c>
      <c r="N114" t="s">
        <v>100</v>
      </c>
      <c r="O114" t="s">
        <v>92</v>
      </c>
      <c r="S114" t="s">
        <v>433</v>
      </c>
      <c r="T114" t="s">
        <v>279</v>
      </c>
      <c r="U114" t="s">
        <v>186</v>
      </c>
    </row>
    <row r="115" spans="1:21" x14ac:dyDescent="0.3">
      <c r="A115" t="s">
        <v>434</v>
      </c>
      <c r="B115" s="6" t="str">
        <f>HYPERLINK("http://data.ntsb.gov/carol-repgen/api/Aviation/ReportMain/GenerateNewestReport/99039/pdf","AccidentReport")</f>
        <v>AccidentReport</v>
      </c>
      <c r="C115" t="s">
        <v>429</v>
      </c>
      <c r="D115" t="s">
        <v>435</v>
      </c>
      <c r="E115" t="s">
        <v>301</v>
      </c>
      <c r="F115" t="s">
        <v>88</v>
      </c>
      <c r="G115">
        <v>26.659444000000001</v>
      </c>
      <c r="H115">
        <v>-79.688056000000003</v>
      </c>
      <c r="I115">
        <v>0</v>
      </c>
      <c r="J115">
        <v>0</v>
      </c>
      <c r="K115" t="s">
        <v>89</v>
      </c>
      <c r="L115">
        <v>1</v>
      </c>
      <c r="M115" t="s">
        <v>90</v>
      </c>
      <c r="N115" t="s">
        <v>91</v>
      </c>
      <c r="O115" t="s">
        <v>92</v>
      </c>
      <c r="S115" t="s">
        <v>108</v>
      </c>
      <c r="T115" t="s">
        <v>159</v>
      </c>
      <c r="U115" t="s">
        <v>186</v>
      </c>
    </row>
    <row r="116" spans="1:21" x14ac:dyDescent="0.3">
      <c r="A116" t="s">
        <v>436</v>
      </c>
      <c r="B116" s="6" t="str">
        <f>HYPERLINK("http://data.ntsb.gov/carol-repgen/api/Aviation/ReportMain/GenerateNewestReport/99033/pdf","AccidentReport")</f>
        <v>AccidentReport</v>
      </c>
      <c r="C116" t="s">
        <v>429</v>
      </c>
      <c r="D116" t="s">
        <v>437</v>
      </c>
      <c r="E116" t="s">
        <v>87</v>
      </c>
      <c r="F116" t="s">
        <v>88</v>
      </c>
      <c r="G116">
        <v>46.976942999999999</v>
      </c>
      <c r="H116">
        <v>-92.830000999999996</v>
      </c>
      <c r="K116" t="s">
        <v>89</v>
      </c>
      <c r="L116">
        <v>1</v>
      </c>
      <c r="M116" t="s">
        <v>90</v>
      </c>
      <c r="N116" t="s">
        <v>91</v>
      </c>
      <c r="O116" t="s">
        <v>92</v>
      </c>
      <c r="S116" t="s">
        <v>108</v>
      </c>
      <c r="T116" t="s">
        <v>109</v>
      </c>
      <c r="U116" t="s">
        <v>95</v>
      </c>
    </row>
    <row r="117" spans="1:21" x14ac:dyDescent="0.3">
      <c r="A117" t="s">
        <v>438</v>
      </c>
      <c r="B117" s="6" t="str">
        <f>HYPERLINK("http://data.ntsb.gov/carol-repgen/api/Aviation/ReportMain/GenerateNewestReport/99044/pdf","AccidentReport")</f>
        <v>AccidentReport</v>
      </c>
      <c r="C117" t="s">
        <v>439</v>
      </c>
      <c r="D117" t="s">
        <v>440</v>
      </c>
      <c r="E117" t="s">
        <v>98</v>
      </c>
      <c r="F117" t="s">
        <v>88</v>
      </c>
      <c r="G117">
        <v>26.16611</v>
      </c>
      <c r="H117">
        <v>-80.101112000000001</v>
      </c>
      <c r="I117">
        <v>1</v>
      </c>
      <c r="J117">
        <v>0</v>
      </c>
      <c r="K117" t="s">
        <v>107</v>
      </c>
      <c r="L117">
        <v>1</v>
      </c>
      <c r="M117" t="s">
        <v>147</v>
      </c>
      <c r="N117" t="s">
        <v>91</v>
      </c>
      <c r="O117" t="s">
        <v>92</v>
      </c>
      <c r="S117" t="s">
        <v>441</v>
      </c>
      <c r="T117" t="s">
        <v>442</v>
      </c>
      <c r="U117" t="s">
        <v>103</v>
      </c>
    </row>
    <row r="118" spans="1:21" x14ac:dyDescent="0.3">
      <c r="A118" t="s">
        <v>443</v>
      </c>
      <c r="B118" s="6" t="str">
        <f>HYPERLINK("http://data.ntsb.gov/carol-repgen/api/Aviation/ReportMain/GenerateNewestReport/99045/pdf","AccidentReport")</f>
        <v>AccidentReport</v>
      </c>
      <c r="C118" t="s">
        <v>439</v>
      </c>
      <c r="D118" t="s">
        <v>444</v>
      </c>
      <c r="E118" t="s">
        <v>206</v>
      </c>
      <c r="F118" t="s">
        <v>88</v>
      </c>
      <c r="G118">
        <v>36.001944999999999</v>
      </c>
      <c r="H118">
        <v>-78.354720999999998</v>
      </c>
      <c r="I118">
        <v>3</v>
      </c>
      <c r="K118" t="s">
        <v>107</v>
      </c>
      <c r="L118">
        <v>1</v>
      </c>
      <c r="M118" t="s">
        <v>147</v>
      </c>
      <c r="N118" t="s">
        <v>91</v>
      </c>
      <c r="O118" t="s">
        <v>92</v>
      </c>
      <c r="S118" t="s">
        <v>108</v>
      </c>
      <c r="T118" t="s">
        <v>102</v>
      </c>
      <c r="U118" t="s">
        <v>150</v>
      </c>
    </row>
    <row r="119" spans="1:21" x14ac:dyDescent="0.3">
      <c r="A119" t="s">
        <v>445</v>
      </c>
      <c r="B119" s="6" t="str">
        <f>HYPERLINK("http://data.ntsb.gov/carol-repgen/api/Aviation/ReportMain/GenerateNewestReport/99075/pdf","AccidentReport")</f>
        <v>AccidentReport</v>
      </c>
      <c r="C119" t="s">
        <v>439</v>
      </c>
      <c r="D119" t="s">
        <v>446</v>
      </c>
      <c r="E119" t="s">
        <v>122</v>
      </c>
      <c r="F119" t="s">
        <v>88</v>
      </c>
      <c r="G119">
        <v>43.426943999999999</v>
      </c>
      <c r="H119">
        <v>-116.621109</v>
      </c>
      <c r="K119" t="s">
        <v>89</v>
      </c>
      <c r="L119">
        <v>1</v>
      </c>
      <c r="M119" t="s">
        <v>90</v>
      </c>
      <c r="N119" t="s">
        <v>91</v>
      </c>
      <c r="O119" t="s">
        <v>92</v>
      </c>
      <c r="S119" t="s">
        <v>93</v>
      </c>
      <c r="T119" t="s">
        <v>159</v>
      </c>
      <c r="U119" t="s">
        <v>103</v>
      </c>
    </row>
    <row r="120" spans="1:21" x14ac:dyDescent="0.3">
      <c r="A120" t="s">
        <v>447</v>
      </c>
      <c r="B120" s="6" t="str">
        <f>HYPERLINK("http://data.ntsb.gov/carol-repgen/api/Aviation/ReportMain/GenerateNewestReport/99046/pdf","AccidentReport")</f>
        <v>AccidentReport</v>
      </c>
      <c r="C120" t="s">
        <v>448</v>
      </c>
      <c r="D120" t="s">
        <v>449</v>
      </c>
      <c r="E120" t="s">
        <v>98</v>
      </c>
      <c r="F120" t="s">
        <v>88</v>
      </c>
      <c r="G120">
        <v>28.341387999999998</v>
      </c>
      <c r="H120">
        <v>-80.685278999999994</v>
      </c>
      <c r="J120">
        <v>1</v>
      </c>
      <c r="K120" t="s">
        <v>99</v>
      </c>
      <c r="L120">
        <v>1</v>
      </c>
      <c r="M120" t="s">
        <v>90</v>
      </c>
      <c r="N120" t="s">
        <v>91</v>
      </c>
      <c r="O120" t="s">
        <v>92</v>
      </c>
      <c r="S120" t="s">
        <v>108</v>
      </c>
      <c r="T120" t="s">
        <v>109</v>
      </c>
      <c r="U120" t="s">
        <v>95</v>
      </c>
    </row>
    <row r="121" spans="1:21" x14ac:dyDescent="0.3">
      <c r="A121" t="s">
        <v>450</v>
      </c>
      <c r="B121" s="6" t="str">
        <f>HYPERLINK("http://data.ntsb.gov/carol-repgen/api/Aviation/ReportMain/GenerateNewestReport/99056/pdf","AccidentReport")</f>
        <v>AccidentReport</v>
      </c>
      <c r="C121" t="s">
        <v>448</v>
      </c>
      <c r="D121" t="s">
        <v>451</v>
      </c>
      <c r="E121" t="s">
        <v>233</v>
      </c>
      <c r="F121" t="s">
        <v>88</v>
      </c>
      <c r="G121">
        <v>61.798053000000003</v>
      </c>
      <c r="H121">
        <v>-149.50332599999999</v>
      </c>
      <c r="K121" t="s">
        <v>89</v>
      </c>
      <c r="L121">
        <v>1</v>
      </c>
      <c r="M121" t="s">
        <v>90</v>
      </c>
      <c r="N121" t="s">
        <v>91</v>
      </c>
      <c r="O121" t="s">
        <v>92</v>
      </c>
      <c r="S121" t="s">
        <v>108</v>
      </c>
      <c r="T121" t="s">
        <v>94</v>
      </c>
      <c r="U121" t="s">
        <v>95</v>
      </c>
    </row>
    <row r="122" spans="1:21" x14ac:dyDescent="0.3">
      <c r="A122" t="s">
        <v>452</v>
      </c>
      <c r="B122" s="6" t="str">
        <f>HYPERLINK("http://data.ntsb.gov/carol-repgen/api/Aviation/ReportMain/GenerateNewestReport/99048/pdf","AccidentReport")</f>
        <v>AccidentReport</v>
      </c>
      <c r="C122" t="s">
        <v>448</v>
      </c>
      <c r="D122" t="s">
        <v>453</v>
      </c>
      <c r="E122" t="s">
        <v>125</v>
      </c>
      <c r="F122" t="s">
        <v>88</v>
      </c>
      <c r="G122">
        <v>33.626387999999999</v>
      </c>
      <c r="H122">
        <v>-111.90582999999999</v>
      </c>
      <c r="K122" t="s">
        <v>89</v>
      </c>
      <c r="L122">
        <v>1</v>
      </c>
      <c r="M122" t="s">
        <v>90</v>
      </c>
      <c r="N122" t="s">
        <v>91</v>
      </c>
      <c r="O122" t="s">
        <v>92</v>
      </c>
      <c r="S122" t="s">
        <v>93</v>
      </c>
      <c r="T122" t="s">
        <v>102</v>
      </c>
      <c r="U122" t="s">
        <v>119</v>
      </c>
    </row>
    <row r="123" spans="1:21" x14ac:dyDescent="0.3">
      <c r="A123" t="s">
        <v>454</v>
      </c>
      <c r="B123" s="6" t="str">
        <f>HYPERLINK("http://data.ntsb.gov/carol-repgen/api/Aviation/ReportMain/GenerateNewestReport/99061/pdf","AccidentReport")</f>
        <v>AccidentReport</v>
      </c>
      <c r="C123" t="s">
        <v>455</v>
      </c>
      <c r="D123" t="s">
        <v>456</v>
      </c>
      <c r="E123" t="s">
        <v>457</v>
      </c>
      <c r="F123" t="s">
        <v>88</v>
      </c>
      <c r="G123">
        <v>37.195926</v>
      </c>
      <c r="H123">
        <v>-91.703140000000005</v>
      </c>
      <c r="I123">
        <v>1</v>
      </c>
      <c r="K123" t="s">
        <v>107</v>
      </c>
      <c r="L123">
        <v>1</v>
      </c>
      <c r="M123" t="s">
        <v>90</v>
      </c>
      <c r="N123" t="s">
        <v>91</v>
      </c>
      <c r="O123" t="s">
        <v>92</v>
      </c>
      <c r="S123" t="s">
        <v>108</v>
      </c>
      <c r="T123" t="s">
        <v>118</v>
      </c>
      <c r="U123" t="s">
        <v>186</v>
      </c>
    </row>
    <row r="124" spans="1:21" x14ac:dyDescent="0.3">
      <c r="A124" t="s">
        <v>458</v>
      </c>
      <c r="B124" s="6" t="str">
        <f>HYPERLINK("http://data.ntsb.gov/carol-repgen/api/Aviation/ReportMain/GenerateNewestReport/99054/pdf","AccidentReport")</f>
        <v>AccidentReport</v>
      </c>
      <c r="C124" t="s">
        <v>455</v>
      </c>
      <c r="D124" t="s">
        <v>459</v>
      </c>
      <c r="E124" t="s">
        <v>98</v>
      </c>
      <c r="F124" t="s">
        <v>88</v>
      </c>
      <c r="G124">
        <v>27.715</v>
      </c>
      <c r="H124">
        <v>-80.527220999999997</v>
      </c>
      <c r="I124">
        <v>1</v>
      </c>
      <c r="K124" t="s">
        <v>107</v>
      </c>
      <c r="L124">
        <v>1</v>
      </c>
      <c r="M124" t="s">
        <v>90</v>
      </c>
      <c r="N124" t="s">
        <v>91</v>
      </c>
      <c r="O124" t="s">
        <v>92</v>
      </c>
      <c r="S124" t="s">
        <v>93</v>
      </c>
      <c r="T124" t="s">
        <v>279</v>
      </c>
      <c r="U124" t="s">
        <v>150</v>
      </c>
    </row>
    <row r="125" spans="1:21" x14ac:dyDescent="0.3">
      <c r="A125" t="s">
        <v>460</v>
      </c>
      <c r="B125" s="6" t="str">
        <f>HYPERLINK("http://data.ntsb.gov/carol-repgen/api/Aviation/ReportMain/GenerateNewestReport/99057/pdf","AccidentReport")</f>
        <v>AccidentReport</v>
      </c>
      <c r="C125" t="s">
        <v>455</v>
      </c>
      <c r="D125" t="s">
        <v>461</v>
      </c>
      <c r="E125" t="s">
        <v>356</v>
      </c>
      <c r="F125" t="s">
        <v>88</v>
      </c>
      <c r="G125">
        <v>34.533332000000001</v>
      </c>
      <c r="H125">
        <v>-84.522498999999996</v>
      </c>
      <c r="I125">
        <v>1</v>
      </c>
      <c r="J125">
        <v>0</v>
      </c>
      <c r="K125" t="s">
        <v>107</v>
      </c>
      <c r="L125">
        <v>1</v>
      </c>
      <c r="M125" t="s">
        <v>90</v>
      </c>
      <c r="N125" t="s">
        <v>100</v>
      </c>
      <c r="O125" t="s">
        <v>462</v>
      </c>
      <c r="S125" t="s">
        <v>463</v>
      </c>
      <c r="T125" t="s">
        <v>139</v>
      </c>
      <c r="U125" t="s">
        <v>103</v>
      </c>
    </row>
    <row r="126" spans="1:21" x14ac:dyDescent="0.3">
      <c r="A126" t="s">
        <v>464</v>
      </c>
      <c r="B126" s="6" t="str">
        <f>HYPERLINK("http://data.ntsb.gov/carol-repgen/api/Aviation/ReportMain/GenerateNewestReport/99059/pdf","AccidentReport")</f>
        <v>AccidentReport</v>
      </c>
      <c r="C126" t="s">
        <v>455</v>
      </c>
      <c r="D126" t="s">
        <v>465</v>
      </c>
      <c r="E126" t="s">
        <v>356</v>
      </c>
      <c r="F126" t="s">
        <v>88</v>
      </c>
      <c r="G126">
        <v>32.475276000000001</v>
      </c>
      <c r="H126">
        <v>-81.730552000000003</v>
      </c>
      <c r="K126" t="s">
        <v>155</v>
      </c>
      <c r="L126">
        <v>1</v>
      </c>
      <c r="M126" t="s">
        <v>147</v>
      </c>
      <c r="N126" t="s">
        <v>91</v>
      </c>
      <c r="O126" t="s">
        <v>92</v>
      </c>
      <c r="S126" t="s">
        <v>93</v>
      </c>
      <c r="T126" t="s">
        <v>109</v>
      </c>
      <c r="U126" t="s">
        <v>95</v>
      </c>
    </row>
    <row r="127" spans="1:21" x14ac:dyDescent="0.3">
      <c r="A127" t="s">
        <v>466</v>
      </c>
      <c r="B127" s="6" t="str">
        <f>HYPERLINK("http://data.ntsb.gov/carol-repgen/api/Aviation/ReportMain/GenerateNewestReport/99060/pdf","AccidentReport")</f>
        <v>AccidentReport</v>
      </c>
      <c r="C127" t="s">
        <v>455</v>
      </c>
      <c r="D127" t="s">
        <v>301</v>
      </c>
      <c r="E127" t="s">
        <v>301</v>
      </c>
      <c r="F127" t="s">
        <v>88</v>
      </c>
      <c r="G127">
        <v>37.634746</v>
      </c>
      <c r="H127">
        <v>-72.862037000000001</v>
      </c>
      <c r="K127" t="s">
        <v>155</v>
      </c>
      <c r="L127">
        <v>1</v>
      </c>
      <c r="M127" t="s">
        <v>90</v>
      </c>
      <c r="N127" t="s">
        <v>91</v>
      </c>
      <c r="O127" t="s">
        <v>92</v>
      </c>
      <c r="S127" t="s">
        <v>108</v>
      </c>
      <c r="T127" t="s">
        <v>159</v>
      </c>
      <c r="U127" t="s">
        <v>186</v>
      </c>
    </row>
    <row r="128" spans="1:21" x14ac:dyDescent="0.3">
      <c r="A128" t="s">
        <v>467</v>
      </c>
      <c r="B128" s="6" t="str">
        <f>HYPERLINK("http://data.ntsb.gov/carol-repgen/api/Aviation/ReportMain/GenerateNewestReport/99155/pdf","AccidentReport")</f>
        <v>AccidentReport</v>
      </c>
      <c r="C128" t="s">
        <v>468</v>
      </c>
      <c r="D128" t="s">
        <v>469</v>
      </c>
      <c r="E128" t="s">
        <v>233</v>
      </c>
      <c r="F128" t="s">
        <v>88</v>
      </c>
      <c r="G128">
        <v>62.110278999999998</v>
      </c>
      <c r="H128">
        <v>-152.16776999999999</v>
      </c>
      <c r="I128">
        <v>1</v>
      </c>
      <c r="K128" t="s">
        <v>107</v>
      </c>
      <c r="L128">
        <v>1</v>
      </c>
      <c r="M128" t="s">
        <v>90</v>
      </c>
      <c r="N128" t="s">
        <v>91</v>
      </c>
      <c r="O128" t="s">
        <v>92</v>
      </c>
      <c r="S128" t="s">
        <v>108</v>
      </c>
      <c r="T128" t="s">
        <v>102</v>
      </c>
      <c r="U128" t="s">
        <v>186</v>
      </c>
    </row>
    <row r="129" spans="1:21" x14ac:dyDescent="0.3">
      <c r="A129" t="s">
        <v>470</v>
      </c>
      <c r="B129" s="6" t="str">
        <f>HYPERLINK("http://data.ntsb.gov/carol-repgen/api/Aviation/ReportMain/GenerateNewestReport/99122/pdf","AccidentReport")</f>
        <v>AccidentReport</v>
      </c>
      <c r="C129" t="s">
        <v>468</v>
      </c>
      <c r="D129" t="s">
        <v>471</v>
      </c>
      <c r="E129" t="s">
        <v>154</v>
      </c>
      <c r="F129" t="s">
        <v>88</v>
      </c>
      <c r="G129">
        <v>30.589445000000001</v>
      </c>
      <c r="H129">
        <v>-98.370277000000002</v>
      </c>
      <c r="K129" t="s">
        <v>155</v>
      </c>
      <c r="L129">
        <v>1</v>
      </c>
      <c r="M129" t="s">
        <v>90</v>
      </c>
      <c r="N129" t="s">
        <v>91</v>
      </c>
      <c r="O129" t="s">
        <v>92</v>
      </c>
      <c r="S129" t="s">
        <v>108</v>
      </c>
      <c r="T129" t="s">
        <v>118</v>
      </c>
      <c r="U129" t="s">
        <v>150</v>
      </c>
    </row>
    <row r="130" spans="1:21" x14ac:dyDescent="0.3">
      <c r="A130" t="s">
        <v>472</v>
      </c>
      <c r="B130" s="6" t="str">
        <f>HYPERLINK("http://data.ntsb.gov/carol-repgen/api/Aviation/ReportMain/GenerateNewestReport/99071/pdf","AccidentReport")</f>
        <v>AccidentReport</v>
      </c>
      <c r="C130" t="s">
        <v>473</v>
      </c>
      <c r="D130" t="s">
        <v>474</v>
      </c>
      <c r="E130" t="s">
        <v>142</v>
      </c>
      <c r="F130" t="s">
        <v>88</v>
      </c>
      <c r="G130">
        <v>40.224445000000003</v>
      </c>
      <c r="H130">
        <v>-83.351669000000001</v>
      </c>
      <c r="K130" t="s">
        <v>89</v>
      </c>
      <c r="L130">
        <v>1</v>
      </c>
      <c r="M130" t="s">
        <v>90</v>
      </c>
      <c r="N130" t="s">
        <v>91</v>
      </c>
      <c r="O130" t="s">
        <v>92</v>
      </c>
      <c r="S130" t="s">
        <v>93</v>
      </c>
      <c r="T130" t="s">
        <v>94</v>
      </c>
      <c r="U130" t="s">
        <v>95</v>
      </c>
    </row>
    <row r="131" spans="1:21" x14ac:dyDescent="0.3">
      <c r="A131" t="s">
        <v>475</v>
      </c>
      <c r="B131" s="6" t="str">
        <f>HYPERLINK("http://data.ntsb.gov/carol-repgen/api/Aviation/ReportMain/GenerateNewestReport/99082/pdf","AccidentReport")</f>
        <v>AccidentReport</v>
      </c>
      <c r="C131" t="s">
        <v>473</v>
      </c>
      <c r="D131" t="s">
        <v>476</v>
      </c>
      <c r="E131" t="s">
        <v>203</v>
      </c>
      <c r="F131" t="s">
        <v>88</v>
      </c>
      <c r="G131">
        <v>46.694999000000003</v>
      </c>
      <c r="H131">
        <v>-92.095000999999996</v>
      </c>
      <c r="K131" t="s">
        <v>89</v>
      </c>
      <c r="L131">
        <v>1</v>
      </c>
      <c r="M131" t="s">
        <v>90</v>
      </c>
      <c r="N131" t="s">
        <v>91</v>
      </c>
      <c r="O131" t="s">
        <v>92</v>
      </c>
      <c r="S131" t="s">
        <v>108</v>
      </c>
      <c r="T131" t="s">
        <v>94</v>
      </c>
      <c r="U131" t="s">
        <v>95</v>
      </c>
    </row>
    <row r="132" spans="1:21" x14ac:dyDescent="0.3">
      <c r="A132" t="s">
        <v>477</v>
      </c>
      <c r="B132" s="6" t="str">
        <f>HYPERLINK("http://data.ntsb.gov/carol-repgen/api/Aviation/ReportMain/GenerateNewestReport/99089/pdf","AccidentReport")</f>
        <v>AccidentReport</v>
      </c>
      <c r="C132" t="s">
        <v>473</v>
      </c>
      <c r="D132" t="s">
        <v>478</v>
      </c>
      <c r="E132" t="s">
        <v>479</v>
      </c>
      <c r="F132" t="s">
        <v>88</v>
      </c>
      <c r="G132">
        <v>46.459167000000001</v>
      </c>
      <c r="H132">
        <v>-97.185278999999994</v>
      </c>
      <c r="K132" t="s">
        <v>89</v>
      </c>
      <c r="L132">
        <v>1</v>
      </c>
      <c r="M132" t="s">
        <v>90</v>
      </c>
      <c r="N132" t="s">
        <v>91</v>
      </c>
      <c r="O132" t="s">
        <v>92</v>
      </c>
      <c r="S132" t="s">
        <v>170</v>
      </c>
      <c r="T132" t="s">
        <v>102</v>
      </c>
      <c r="U132" t="s">
        <v>103</v>
      </c>
    </row>
    <row r="133" spans="1:21" x14ac:dyDescent="0.3">
      <c r="A133" t="s">
        <v>480</v>
      </c>
      <c r="B133" s="6" t="str">
        <f>HYPERLINK("http://data.ntsb.gov/carol-repgen/api/Aviation/ReportMain/GenerateNewestReport/99106/pdf","AccidentReport")</f>
        <v>AccidentReport</v>
      </c>
      <c r="C133" t="s">
        <v>481</v>
      </c>
      <c r="D133" t="s">
        <v>482</v>
      </c>
      <c r="E133" t="s">
        <v>98</v>
      </c>
      <c r="F133" t="s">
        <v>88</v>
      </c>
      <c r="G133">
        <v>28.822778</v>
      </c>
      <c r="H133">
        <v>-81.808334000000002</v>
      </c>
      <c r="K133" t="s">
        <v>89</v>
      </c>
      <c r="L133">
        <v>1</v>
      </c>
      <c r="M133" t="s">
        <v>90</v>
      </c>
      <c r="N133" t="s">
        <v>91</v>
      </c>
      <c r="O133" t="s">
        <v>92</v>
      </c>
      <c r="S133" t="s">
        <v>418</v>
      </c>
      <c r="T133" t="s">
        <v>109</v>
      </c>
      <c r="U133" t="s">
        <v>221</v>
      </c>
    </row>
    <row r="134" spans="1:21" x14ac:dyDescent="0.3">
      <c r="A134" t="s">
        <v>483</v>
      </c>
      <c r="B134" s="6" t="str">
        <f>HYPERLINK("http://data.ntsb.gov/carol-repgen/api/Aviation/ReportMain/GenerateNewestReport/99091/pdf","AccidentReport")</f>
        <v>AccidentReport</v>
      </c>
      <c r="C134" t="s">
        <v>481</v>
      </c>
      <c r="D134" t="s">
        <v>484</v>
      </c>
      <c r="E134" t="s">
        <v>485</v>
      </c>
      <c r="F134" t="s">
        <v>88</v>
      </c>
      <c r="G134">
        <v>42.459167000000001</v>
      </c>
      <c r="H134">
        <v>-102.501113</v>
      </c>
      <c r="K134" t="s">
        <v>89</v>
      </c>
      <c r="L134">
        <v>1</v>
      </c>
      <c r="M134" t="s">
        <v>90</v>
      </c>
      <c r="N134" t="s">
        <v>91</v>
      </c>
      <c r="O134" t="s">
        <v>92</v>
      </c>
      <c r="S134" t="s">
        <v>108</v>
      </c>
      <c r="T134" t="s">
        <v>118</v>
      </c>
      <c r="U134" t="s">
        <v>186</v>
      </c>
    </row>
    <row r="135" spans="1:21" x14ac:dyDescent="0.3">
      <c r="A135" t="s">
        <v>486</v>
      </c>
      <c r="B135" s="6" t="str">
        <f>HYPERLINK("http://data.ntsb.gov/carol-repgen/api/Aviation/ReportMain/GenerateNewestReport/99074/pdf","AccidentReport")</f>
        <v>AccidentReport</v>
      </c>
      <c r="C135" t="s">
        <v>481</v>
      </c>
      <c r="D135" t="s">
        <v>487</v>
      </c>
      <c r="E135" t="s">
        <v>176</v>
      </c>
      <c r="F135" t="s">
        <v>88</v>
      </c>
      <c r="G135">
        <v>48.101112000000001</v>
      </c>
      <c r="H135">
        <v>-124.095</v>
      </c>
      <c r="I135">
        <v>1</v>
      </c>
      <c r="K135" t="s">
        <v>107</v>
      </c>
      <c r="L135">
        <v>1</v>
      </c>
      <c r="M135" t="s">
        <v>147</v>
      </c>
      <c r="N135" t="s">
        <v>100</v>
      </c>
      <c r="O135" t="s">
        <v>462</v>
      </c>
      <c r="S135" t="s">
        <v>463</v>
      </c>
      <c r="T135" t="s">
        <v>159</v>
      </c>
      <c r="U135" t="s">
        <v>103</v>
      </c>
    </row>
    <row r="136" spans="1:21" x14ac:dyDescent="0.3">
      <c r="A136" t="s">
        <v>488</v>
      </c>
      <c r="B136" s="6" t="str">
        <f>HYPERLINK("http://data.ntsb.gov/carol-repgen/api/Aviation/ReportMain/GenerateNewestReport/99076/pdf","AccidentReport")</f>
        <v>AccidentReport</v>
      </c>
      <c r="C136" t="s">
        <v>481</v>
      </c>
      <c r="D136" t="s">
        <v>489</v>
      </c>
      <c r="E136" t="s">
        <v>98</v>
      </c>
      <c r="F136" t="s">
        <v>88</v>
      </c>
      <c r="G136">
        <v>26.788055</v>
      </c>
      <c r="H136">
        <v>-80.713333000000006</v>
      </c>
      <c r="I136">
        <v>5</v>
      </c>
      <c r="K136" t="s">
        <v>107</v>
      </c>
      <c r="L136">
        <v>1</v>
      </c>
      <c r="M136" t="s">
        <v>147</v>
      </c>
      <c r="N136" t="s">
        <v>91</v>
      </c>
      <c r="O136" t="s">
        <v>92</v>
      </c>
      <c r="S136" t="s">
        <v>381</v>
      </c>
      <c r="T136" t="s">
        <v>102</v>
      </c>
      <c r="U136" t="s">
        <v>103</v>
      </c>
    </row>
    <row r="137" spans="1:21" x14ac:dyDescent="0.3">
      <c r="A137" t="s">
        <v>490</v>
      </c>
      <c r="B137" s="6" t="str">
        <f>HYPERLINK("http://data.ntsb.gov/carol-repgen/api/Aviation/ReportMain/GenerateNewestReport/99077/pdf","AccidentReport")</f>
        <v>AccidentReport</v>
      </c>
      <c r="C137" t="s">
        <v>491</v>
      </c>
      <c r="D137" t="s">
        <v>492</v>
      </c>
      <c r="E137" t="s">
        <v>154</v>
      </c>
      <c r="F137" t="s">
        <v>88</v>
      </c>
      <c r="G137">
        <v>32.461112</v>
      </c>
      <c r="H137">
        <v>-94.539169000000001</v>
      </c>
      <c r="I137">
        <v>4</v>
      </c>
      <c r="K137" t="s">
        <v>107</v>
      </c>
      <c r="L137">
        <v>1</v>
      </c>
      <c r="M137" t="s">
        <v>147</v>
      </c>
      <c r="N137" t="s">
        <v>91</v>
      </c>
      <c r="O137" t="s">
        <v>92</v>
      </c>
      <c r="S137" t="s">
        <v>108</v>
      </c>
      <c r="T137" t="s">
        <v>493</v>
      </c>
      <c r="U137" t="s">
        <v>186</v>
      </c>
    </row>
    <row r="138" spans="1:21" x14ac:dyDescent="0.3">
      <c r="A138" t="s">
        <v>494</v>
      </c>
      <c r="B138" s="6" t="str">
        <f>HYPERLINK("http://data.ntsb.gov/carol-repgen/api/Aviation/ReportMain/GenerateNewestReport/99608/pdf","AccidentReport")</f>
        <v>AccidentReport</v>
      </c>
      <c r="C138" t="s">
        <v>491</v>
      </c>
      <c r="D138" t="s">
        <v>495</v>
      </c>
      <c r="E138" t="s">
        <v>390</v>
      </c>
      <c r="F138" t="s">
        <v>88</v>
      </c>
      <c r="G138">
        <v>39</v>
      </c>
      <c r="H138">
        <v>-74</v>
      </c>
      <c r="K138" t="s">
        <v>89</v>
      </c>
      <c r="L138">
        <v>1</v>
      </c>
      <c r="M138" t="s">
        <v>90</v>
      </c>
      <c r="N138" t="s">
        <v>91</v>
      </c>
      <c r="O138" t="s">
        <v>92</v>
      </c>
      <c r="S138" t="s">
        <v>108</v>
      </c>
      <c r="T138" t="s">
        <v>94</v>
      </c>
      <c r="U138" t="s">
        <v>95</v>
      </c>
    </row>
    <row r="139" spans="1:21" x14ac:dyDescent="0.3">
      <c r="A139" t="s">
        <v>496</v>
      </c>
      <c r="B139" s="6" t="str">
        <f>HYPERLINK("http://data.ntsb.gov/carol-repgen/api/Aviation/ReportMain/GenerateNewestReport/99097/pdf","AccidentReport")</f>
        <v>AccidentReport</v>
      </c>
      <c r="C139" t="s">
        <v>491</v>
      </c>
      <c r="D139" t="s">
        <v>497</v>
      </c>
      <c r="E139" t="s">
        <v>356</v>
      </c>
      <c r="F139" t="s">
        <v>88</v>
      </c>
      <c r="G139">
        <v>33.872776000000002</v>
      </c>
      <c r="H139">
        <v>-84.300551999999996</v>
      </c>
      <c r="K139" t="s">
        <v>89</v>
      </c>
      <c r="L139">
        <v>1</v>
      </c>
      <c r="M139" t="s">
        <v>90</v>
      </c>
      <c r="N139" t="s">
        <v>91</v>
      </c>
      <c r="O139" t="s">
        <v>92</v>
      </c>
      <c r="S139" t="s">
        <v>498</v>
      </c>
      <c r="T139" t="s">
        <v>499</v>
      </c>
      <c r="U139" t="s">
        <v>95</v>
      </c>
    </row>
    <row r="140" spans="1:21" x14ac:dyDescent="0.3">
      <c r="A140" t="s">
        <v>500</v>
      </c>
      <c r="B140" s="6" t="str">
        <f>HYPERLINK("http://data.ntsb.gov/carol-repgen/api/Aviation/ReportMain/GenerateNewestReport/99090/pdf","AccidentReport")</f>
        <v>AccidentReport</v>
      </c>
      <c r="C140" t="s">
        <v>491</v>
      </c>
      <c r="D140" t="s">
        <v>501</v>
      </c>
      <c r="E140" t="s">
        <v>176</v>
      </c>
      <c r="F140" t="s">
        <v>88</v>
      </c>
      <c r="G140">
        <v>46.735832000000002</v>
      </c>
      <c r="H140">
        <v>-117.088058</v>
      </c>
      <c r="K140" t="s">
        <v>155</v>
      </c>
      <c r="L140">
        <v>1</v>
      </c>
      <c r="M140" t="s">
        <v>90</v>
      </c>
      <c r="N140" t="s">
        <v>91</v>
      </c>
      <c r="O140" t="s">
        <v>92</v>
      </c>
      <c r="S140" t="s">
        <v>108</v>
      </c>
      <c r="T140" t="s">
        <v>94</v>
      </c>
      <c r="U140" t="s">
        <v>95</v>
      </c>
    </row>
    <row r="141" spans="1:21" x14ac:dyDescent="0.3">
      <c r="A141" t="s">
        <v>502</v>
      </c>
      <c r="B141" s="6" t="str">
        <f>HYPERLINK("http://data.ntsb.gov/carol-repgen/api/Aviation/ReportMain/GenerateNewestReport/99104/pdf","AccidentReport")</f>
        <v>AccidentReport</v>
      </c>
      <c r="C141" t="s">
        <v>491</v>
      </c>
      <c r="D141" t="s">
        <v>503</v>
      </c>
      <c r="E141" t="s">
        <v>203</v>
      </c>
      <c r="F141" t="s">
        <v>88</v>
      </c>
      <c r="G141">
        <v>46.189166999999998</v>
      </c>
      <c r="H141">
        <v>-89.250556000000003</v>
      </c>
      <c r="K141" t="s">
        <v>155</v>
      </c>
      <c r="L141">
        <v>1</v>
      </c>
      <c r="M141" t="s">
        <v>90</v>
      </c>
      <c r="N141" t="s">
        <v>91</v>
      </c>
      <c r="O141" t="s">
        <v>92</v>
      </c>
      <c r="S141" t="s">
        <v>108</v>
      </c>
      <c r="T141" t="s">
        <v>159</v>
      </c>
      <c r="U141" t="s">
        <v>186</v>
      </c>
    </row>
    <row r="142" spans="1:21" x14ac:dyDescent="0.3">
      <c r="A142" t="s">
        <v>504</v>
      </c>
      <c r="B142" s="6" t="str">
        <f>HYPERLINK("http://data.ntsb.gov/carol-repgen/api/Aviation/ReportMain/GenerateNewestReport/99140/pdf","AccidentReport")</f>
        <v>AccidentReport</v>
      </c>
      <c r="C142" t="s">
        <v>491</v>
      </c>
      <c r="D142" t="s">
        <v>505</v>
      </c>
      <c r="E142" t="s">
        <v>125</v>
      </c>
      <c r="F142" t="s">
        <v>88</v>
      </c>
      <c r="G142">
        <v>33.270831999999999</v>
      </c>
      <c r="H142">
        <v>-111.806945</v>
      </c>
      <c r="K142" t="s">
        <v>89</v>
      </c>
      <c r="L142">
        <v>1</v>
      </c>
      <c r="M142" t="s">
        <v>90</v>
      </c>
      <c r="N142" t="s">
        <v>91</v>
      </c>
      <c r="O142" t="s">
        <v>92</v>
      </c>
      <c r="S142" t="s">
        <v>108</v>
      </c>
      <c r="T142" t="s">
        <v>109</v>
      </c>
      <c r="U142" t="s">
        <v>95</v>
      </c>
    </row>
    <row r="143" spans="1:21" x14ac:dyDescent="0.3">
      <c r="A143" t="s">
        <v>506</v>
      </c>
      <c r="B143" s="6" t="str">
        <f>HYPERLINK("http://data.ntsb.gov/carol-repgen/api/Aviation/ReportMain/GenerateNewestReport/99081/pdf","AccidentReport")</f>
        <v>AccidentReport</v>
      </c>
      <c r="C143" t="s">
        <v>507</v>
      </c>
      <c r="D143" t="s">
        <v>508</v>
      </c>
      <c r="E143" t="s">
        <v>509</v>
      </c>
      <c r="F143" t="s">
        <v>88</v>
      </c>
      <c r="G143">
        <v>14.38</v>
      </c>
      <c r="H143">
        <v>-90.82</v>
      </c>
      <c r="I143">
        <v>2</v>
      </c>
      <c r="K143" t="s">
        <v>107</v>
      </c>
      <c r="L143">
        <v>1</v>
      </c>
      <c r="M143" t="s">
        <v>90</v>
      </c>
      <c r="N143" t="s">
        <v>91</v>
      </c>
      <c r="O143" t="s">
        <v>240</v>
      </c>
      <c r="T143" t="s">
        <v>442</v>
      </c>
      <c r="U143" t="s">
        <v>103</v>
      </c>
    </row>
    <row r="144" spans="1:21" x14ac:dyDescent="0.3">
      <c r="A144" t="s">
        <v>510</v>
      </c>
      <c r="B144" s="6" t="str">
        <f>HYPERLINK("http://data.ntsb.gov/carol-repgen/api/Aviation/ReportMain/GenerateNewestReport/99092/pdf","AccidentReport")</f>
        <v>AccidentReport</v>
      </c>
      <c r="C144" t="s">
        <v>511</v>
      </c>
      <c r="D144" t="s">
        <v>512</v>
      </c>
      <c r="E144" t="s">
        <v>399</v>
      </c>
      <c r="F144" t="s">
        <v>88</v>
      </c>
      <c r="G144">
        <v>37.774444000000003</v>
      </c>
      <c r="H144">
        <v>-97.113333999999995</v>
      </c>
      <c r="K144" t="s">
        <v>155</v>
      </c>
      <c r="L144">
        <v>1</v>
      </c>
      <c r="M144" t="s">
        <v>90</v>
      </c>
      <c r="N144" t="s">
        <v>91</v>
      </c>
      <c r="O144" t="s">
        <v>92</v>
      </c>
      <c r="S144" t="s">
        <v>93</v>
      </c>
      <c r="T144" t="s">
        <v>94</v>
      </c>
      <c r="U144" t="s">
        <v>95</v>
      </c>
    </row>
    <row r="145" spans="1:21" x14ac:dyDescent="0.3">
      <c r="A145" t="s">
        <v>513</v>
      </c>
      <c r="B145" s="6" t="str">
        <f>HYPERLINK("http://data.ntsb.gov/carol-repgen/api/Aviation/ReportMain/GenerateNewestReport/99095/pdf","AccidentReport")</f>
        <v>AccidentReport</v>
      </c>
      <c r="C145" t="s">
        <v>511</v>
      </c>
      <c r="D145" t="s">
        <v>514</v>
      </c>
      <c r="E145" t="s">
        <v>122</v>
      </c>
      <c r="F145" t="s">
        <v>88</v>
      </c>
      <c r="G145">
        <v>43.778888000000002</v>
      </c>
      <c r="H145">
        <v>-116.938613</v>
      </c>
      <c r="K145" t="s">
        <v>89</v>
      </c>
      <c r="L145">
        <v>1</v>
      </c>
      <c r="M145" t="s">
        <v>90</v>
      </c>
      <c r="N145" t="s">
        <v>91</v>
      </c>
      <c r="O145" t="s">
        <v>169</v>
      </c>
      <c r="S145" t="s">
        <v>515</v>
      </c>
      <c r="T145" t="s">
        <v>94</v>
      </c>
      <c r="U145" t="s">
        <v>95</v>
      </c>
    </row>
    <row r="146" spans="1:21" x14ac:dyDescent="0.3">
      <c r="A146" t="s">
        <v>516</v>
      </c>
      <c r="B146" s="6" t="str">
        <f>HYPERLINK("http://data.ntsb.gov/carol-repgen/api/Aviation/ReportMain/GenerateNewestReport/99142/pdf","AccidentReport")</f>
        <v>AccidentReport</v>
      </c>
      <c r="C146" t="s">
        <v>511</v>
      </c>
      <c r="D146" t="s">
        <v>517</v>
      </c>
      <c r="E146" t="s">
        <v>518</v>
      </c>
      <c r="F146" t="s">
        <v>88</v>
      </c>
      <c r="G146">
        <v>41.226112000000001</v>
      </c>
      <c r="H146">
        <v>-92.493887999999998</v>
      </c>
      <c r="K146" t="s">
        <v>89</v>
      </c>
      <c r="L146">
        <v>1</v>
      </c>
      <c r="M146" t="s">
        <v>90</v>
      </c>
      <c r="N146" t="s">
        <v>91</v>
      </c>
      <c r="O146" t="s">
        <v>92</v>
      </c>
      <c r="S146" t="s">
        <v>93</v>
      </c>
      <c r="T146" t="s">
        <v>94</v>
      </c>
      <c r="U146" t="s">
        <v>95</v>
      </c>
    </row>
    <row r="147" spans="1:21" x14ac:dyDescent="0.3">
      <c r="A147" t="s">
        <v>519</v>
      </c>
      <c r="B147" s="6" t="str">
        <f>HYPERLINK("http://data.ntsb.gov/carol-repgen/api/Aviation/ReportMain/GenerateNewestReport/99099/pdf","AccidentReport")</f>
        <v>AccidentReport</v>
      </c>
      <c r="C147" t="s">
        <v>520</v>
      </c>
      <c r="D147" t="s">
        <v>521</v>
      </c>
      <c r="E147" t="s">
        <v>360</v>
      </c>
      <c r="F147" t="s">
        <v>88</v>
      </c>
      <c r="G147">
        <v>38.362777000000001</v>
      </c>
      <c r="H147">
        <v>-90.100279999999998</v>
      </c>
      <c r="J147">
        <v>1</v>
      </c>
      <c r="K147" t="s">
        <v>99</v>
      </c>
      <c r="L147">
        <v>1</v>
      </c>
      <c r="M147" t="s">
        <v>90</v>
      </c>
      <c r="N147" t="s">
        <v>91</v>
      </c>
      <c r="O147" t="s">
        <v>92</v>
      </c>
      <c r="S147" t="s">
        <v>108</v>
      </c>
      <c r="T147" t="s">
        <v>159</v>
      </c>
      <c r="U147" t="s">
        <v>186</v>
      </c>
    </row>
    <row r="148" spans="1:21" x14ac:dyDescent="0.3">
      <c r="A148" t="s">
        <v>522</v>
      </c>
      <c r="B148" s="6" t="str">
        <f>HYPERLINK("http://data.ntsb.gov/carol-repgen/api/Aviation/ReportMain/GenerateNewestReport/99098/pdf","AccidentReport")</f>
        <v>AccidentReport</v>
      </c>
      <c r="C148" t="s">
        <v>520</v>
      </c>
      <c r="D148" t="s">
        <v>523</v>
      </c>
      <c r="E148" t="s">
        <v>142</v>
      </c>
      <c r="F148" t="s">
        <v>88</v>
      </c>
      <c r="G148">
        <v>39.179442999999999</v>
      </c>
      <c r="H148">
        <v>-84.380279000000002</v>
      </c>
      <c r="I148">
        <v>1</v>
      </c>
      <c r="J148">
        <v>0</v>
      </c>
      <c r="K148" t="s">
        <v>107</v>
      </c>
      <c r="L148">
        <v>1</v>
      </c>
      <c r="M148" t="s">
        <v>90</v>
      </c>
      <c r="N148" t="s">
        <v>91</v>
      </c>
      <c r="O148" t="s">
        <v>92</v>
      </c>
      <c r="S148" t="s">
        <v>101</v>
      </c>
      <c r="T148" t="s">
        <v>102</v>
      </c>
      <c r="U148" t="s">
        <v>186</v>
      </c>
    </row>
    <row r="149" spans="1:21" x14ac:dyDescent="0.3">
      <c r="A149" t="s">
        <v>524</v>
      </c>
      <c r="B149" s="6" t="str">
        <f>HYPERLINK("http://data.ntsb.gov/carol-repgen/api/Aviation/ReportMain/GenerateNewestReport/99100/pdf","AccidentReport")</f>
        <v>AccidentReport</v>
      </c>
      <c r="C149" t="s">
        <v>520</v>
      </c>
      <c r="D149" t="s">
        <v>525</v>
      </c>
      <c r="E149" t="s">
        <v>117</v>
      </c>
      <c r="F149" t="s">
        <v>88</v>
      </c>
      <c r="G149">
        <v>40.273055999999997</v>
      </c>
      <c r="H149">
        <v>-79.408332000000001</v>
      </c>
      <c r="K149" t="s">
        <v>89</v>
      </c>
      <c r="L149">
        <v>1</v>
      </c>
      <c r="M149" t="s">
        <v>90</v>
      </c>
      <c r="N149" t="s">
        <v>91</v>
      </c>
      <c r="O149" t="s">
        <v>92</v>
      </c>
      <c r="S149" t="s">
        <v>173</v>
      </c>
      <c r="T149" t="s">
        <v>109</v>
      </c>
      <c r="U149" t="s">
        <v>95</v>
      </c>
    </row>
    <row r="150" spans="1:21" x14ac:dyDescent="0.3">
      <c r="A150" t="s">
        <v>526</v>
      </c>
      <c r="B150" s="6" t="str">
        <f>HYPERLINK("http://data.ntsb.gov/carol-repgen/api/Aviation/ReportMain/GenerateNewestReport/99103/pdf","AccidentReport")</f>
        <v>AccidentReport</v>
      </c>
      <c r="C150" t="s">
        <v>520</v>
      </c>
      <c r="D150" t="s">
        <v>527</v>
      </c>
      <c r="E150" t="s">
        <v>131</v>
      </c>
      <c r="F150" t="s">
        <v>88</v>
      </c>
      <c r="G150">
        <v>40.175556</v>
      </c>
      <c r="H150">
        <v>-103.221946</v>
      </c>
      <c r="K150" t="s">
        <v>89</v>
      </c>
      <c r="L150">
        <v>1</v>
      </c>
      <c r="M150" t="s">
        <v>90</v>
      </c>
      <c r="N150" t="s">
        <v>91</v>
      </c>
      <c r="O150" t="s">
        <v>92</v>
      </c>
      <c r="S150" t="s">
        <v>93</v>
      </c>
      <c r="T150" t="s">
        <v>94</v>
      </c>
      <c r="U150" t="s">
        <v>95</v>
      </c>
    </row>
    <row r="151" spans="1:21" x14ac:dyDescent="0.3">
      <c r="A151" t="s">
        <v>528</v>
      </c>
      <c r="B151" s="6" t="str">
        <f>HYPERLINK("http://data.ntsb.gov/carol-repgen/api/Aviation/ReportMain/GenerateNewestReport/99109/pdf","AccidentReport")</f>
        <v>AccidentReport</v>
      </c>
      <c r="C151" t="s">
        <v>529</v>
      </c>
      <c r="D151" t="s">
        <v>530</v>
      </c>
      <c r="E151" t="s">
        <v>98</v>
      </c>
      <c r="F151" t="s">
        <v>88</v>
      </c>
      <c r="G151">
        <v>30.206111</v>
      </c>
      <c r="H151">
        <v>-81.403334999999998</v>
      </c>
      <c r="I151">
        <v>0</v>
      </c>
      <c r="K151" t="s">
        <v>89</v>
      </c>
      <c r="L151">
        <v>1</v>
      </c>
      <c r="M151" t="s">
        <v>90</v>
      </c>
      <c r="N151" t="s">
        <v>100</v>
      </c>
      <c r="O151" t="s">
        <v>92</v>
      </c>
      <c r="S151" t="s">
        <v>531</v>
      </c>
      <c r="T151" t="s">
        <v>159</v>
      </c>
      <c r="U151" t="s">
        <v>103</v>
      </c>
    </row>
    <row r="152" spans="1:21" x14ac:dyDescent="0.3">
      <c r="A152" t="s">
        <v>532</v>
      </c>
      <c r="B152" s="6" t="str">
        <f>HYPERLINK("http://data.ntsb.gov/carol-repgen/api/Aviation/ReportMain/GenerateNewestReport/99139/pdf","AccidentReport")</f>
        <v>AccidentReport</v>
      </c>
      <c r="C152" t="s">
        <v>529</v>
      </c>
      <c r="D152" t="s">
        <v>533</v>
      </c>
      <c r="E152" t="s">
        <v>206</v>
      </c>
      <c r="F152" t="s">
        <v>88</v>
      </c>
      <c r="G152">
        <v>35.269720999999997</v>
      </c>
      <c r="H152">
        <v>-82.643608</v>
      </c>
      <c r="K152" t="s">
        <v>89</v>
      </c>
      <c r="L152">
        <v>1</v>
      </c>
      <c r="M152" t="s">
        <v>90</v>
      </c>
      <c r="N152" t="s">
        <v>91</v>
      </c>
      <c r="O152" t="s">
        <v>92</v>
      </c>
      <c r="S152" t="s">
        <v>108</v>
      </c>
      <c r="T152" t="s">
        <v>94</v>
      </c>
      <c r="U152" t="s">
        <v>248</v>
      </c>
    </row>
    <row r="153" spans="1:21" x14ac:dyDescent="0.3">
      <c r="A153" t="s">
        <v>534</v>
      </c>
      <c r="B153" s="6" t="str">
        <f>HYPERLINK("http://data.ntsb.gov/carol-repgen/api/Aviation/ReportMain/GenerateNewestReport/99349/pdf","AccidentReport")</f>
        <v>AccidentReport</v>
      </c>
      <c r="C153" t="s">
        <v>529</v>
      </c>
      <c r="D153" t="s">
        <v>535</v>
      </c>
      <c r="E153" t="s">
        <v>536</v>
      </c>
      <c r="F153" t="s">
        <v>88</v>
      </c>
      <c r="G153">
        <v>38.779724000000002</v>
      </c>
      <c r="H153">
        <v>-76.088058000000004</v>
      </c>
      <c r="K153" t="s">
        <v>89</v>
      </c>
      <c r="L153">
        <v>1</v>
      </c>
      <c r="M153" t="s">
        <v>90</v>
      </c>
      <c r="N153" t="s">
        <v>91</v>
      </c>
      <c r="O153" t="s">
        <v>92</v>
      </c>
      <c r="S153" t="s">
        <v>93</v>
      </c>
      <c r="T153" t="s">
        <v>159</v>
      </c>
      <c r="U153" t="s">
        <v>119</v>
      </c>
    </row>
    <row r="154" spans="1:21" x14ac:dyDescent="0.3">
      <c r="A154" t="s">
        <v>537</v>
      </c>
      <c r="B154" s="6" t="str">
        <f>HYPERLINK("http://data.ntsb.gov/carol-repgen/api/Aviation/ReportMain/GenerateNewestReport/99116/pdf","AccidentReport")</f>
        <v>AccidentReport</v>
      </c>
      <c r="C154" t="s">
        <v>529</v>
      </c>
      <c r="D154" t="s">
        <v>538</v>
      </c>
      <c r="E154" t="s">
        <v>98</v>
      </c>
      <c r="F154" t="s">
        <v>88</v>
      </c>
      <c r="G154">
        <v>27</v>
      </c>
      <c r="H154">
        <v>-82</v>
      </c>
      <c r="K154" t="s">
        <v>89</v>
      </c>
      <c r="L154">
        <v>1</v>
      </c>
      <c r="M154" t="s">
        <v>90</v>
      </c>
      <c r="N154" t="s">
        <v>91</v>
      </c>
      <c r="O154" t="s">
        <v>92</v>
      </c>
      <c r="S154" t="s">
        <v>108</v>
      </c>
      <c r="T154" t="s">
        <v>109</v>
      </c>
      <c r="U154" t="s">
        <v>95</v>
      </c>
    </row>
    <row r="155" spans="1:21" x14ac:dyDescent="0.3">
      <c r="A155" t="s">
        <v>539</v>
      </c>
      <c r="B155" s="6" t="str">
        <f>HYPERLINK("http://data.ntsb.gov/carol-repgen/api/Aviation/ReportMain/GenerateNewestReport/99124/pdf","AccidentReport")</f>
        <v>AccidentReport</v>
      </c>
      <c r="C155" t="s">
        <v>529</v>
      </c>
      <c r="D155" t="s">
        <v>540</v>
      </c>
      <c r="E155" t="s">
        <v>541</v>
      </c>
      <c r="F155" t="s">
        <v>88</v>
      </c>
      <c r="G155">
        <v>42.898333999999998</v>
      </c>
      <c r="H155">
        <v>-72.270835000000005</v>
      </c>
      <c r="K155" t="s">
        <v>89</v>
      </c>
      <c r="L155">
        <v>1</v>
      </c>
      <c r="M155" t="s">
        <v>90</v>
      </c>
      <c r="N155" t="s">
        <v>100</v>
      </c>
      <c r="O155" t="s">
        <v>92</v>
      </c>
      <c r="S155" t="s">
        <v>108</v>
      </c>
      <c r="T155" t="s">
        <v>542</v>
      </c>
      <c r="U155" t="s">
        <v>186</v>
      </c>
    </row>
    <row r="156" spans="1:21" x14ac:dyDescent="0.3">
      <c r="A156" t="s">
        <v>543</v>
      </c>
      <c r="B156" s="6" t="str">
        <f>HYPERLINK("http://data.ntsb.gov/carol-repgen/api/Aviation/ReportMain/GenerateNewestReport/99107/pdf","AccidentReport")</f>
        <v>AccidentReport</v>
      </c>
      <c r="C156" t="s">
        <v>529</v>
      </c>
      <c r="D156" t="s">
        <v>544</v>
      </c>
      <c r="E156" t="s">
        <v>106</v>
      </c>
      <c r="F156" t="s">
        <v>88</v>
      </c>
      <c r="G156">
        <v>33.889446</v>
      </c>
      <c r="H156">
        <v>-118.24083</v>
      </c>
      <c r="I156">
        <v>1</v>
      </c>
      <c r="J156">
        <v>1</v>
      </c>
      <c r="K156" t="s">
        <v>107</v>
      </c>
      <c r="L156">
        <v>1</v>
      </c>
      <c r="M156" t="s">
        <v>155</v>
      </c>
      <c r="N156" t="s">
        <v>91</v>
      </c>
      <c r="O156" t="s">
        <v>92</v>
      </c>
      <c r="S156" t="s">
        <v>108</v>
      </c>
      <c r="T156" t="s">
        <v>545</v>
      </c>
      <c r="U156" t="s">
        <v>95</v>
      </c>
    </row>
    <row r="157" spans="1:21" x14ac:dyDescent="0.3">
      <c r="A157" t="s">
        <v>543</v>
      </c>
      <c r="B157" s="6" t="str">
        <f>HYPERLINK("http://data.ntsb.gov/carol-repgen/api/Aviation/ReportMain/GenerateNewestReport/99107/pdf","AccidentReport")</f>
        <v>AccidentReport</v>
      </c>
      <c r="C157" t="s">
        <v>529</v>
      </c>
      <c r="D157" t="s">
        <v>544</v>
      </c>
      <c r="E157" t="s">
        <v>106</v>
      </c>
      <c r="F157" t="s">
        <v>88</v>
      </c>
      <c r="G157">
        <v>33.889446</v>
      </c>
      <c r="H157">
        <v>-118.24083</v>
      </c>
      <c r="I157">
        <v>1</v>
      </c>
      <c r="J157">
        <v>1</v>
      </c>
      <c r="K157" t="s">
        <v>107</v>
      </c>
      <c r="L157">
        <v>2</v>
      </c>
      <c r="M157" t="s">
        <v>147</v>
      </c>
      <c r="N157" t="s">
        <v>91</v>
      </c>
      <c r="O157" t="s">
        <v>92</v>
      </c>
      <c r="S157" t="s">
        <v>93</v>
      </c>
      <c r="T157" t="s">
        <v>545</v>
      </c>
      <c r="U157" t="s">
        <v>95</v>
      </c>
    </row>
    <row r="158" spans="1:21" x14ac:dyDescent="0.3">
      <c r="A158" t="s">
        <v>546</v>
      </c>
      <c r="B158" s="6" t="str">
        <f>HYPERLINK("http://data.ntsb.gov/carol-repgen/api/Aviation/ReportMain/GenerateNewestReport/99112/pdf","AccidentReport")</f>
        <v>AccidentReport</v>
      </c>
      <c r="C158" t="s">
        <v>547</v>
      </c>
      <c r="D158" t="s">
        <v>548</v>
      </c>
      <c r="E158" t="s">
        <v>154</v>
      </c>
      <c r="F158" t="s">
        <v>88</v>
      </c>
      <c r="G158">
        <v>30.351388</v>
      </c>
      <c r="H158">
        <v>-97.993887999999998</v>
      </c>
      <c r="I158">
        <v>1</v>
      </c>
      <c r="J158">
        <v>1</v>
      </c>
      <c r="K158" t="s">
        <v>107</v>
      </c>
      <c r="L158">
        <v>1</v>
      </c>
      <c r="M158" t="s">
        <v>90</v>
      </c>
      <c r="N158" t="s">
        <v>91</v>
      </c>
      <c r="O158" t="s">
        <v>92</v>
      </c>
      <c r="S158" t="s">
        <v>93</v>
      </c>
      <c r="T158" t="s">
        <v>159</v>
      </c>
      <c r="U158" t="s">
        <v>119</v>
      </c>
    </row>
    <row r="159" spans="1:21" x14ac:dyDescent="0.3">
      <c r="A159" t="s">
        <v>549</v>
      </c>
      <c r="B159" s="6" t="str">
        <f>HYPERLINK("http://data.ntsb.gov/carol-repgen/api/Aviation/ReportMain/GenerateNewestReport/99117/pdf","AccidentReport")</f>
        <v>AccidentReport</v>
      </c>
      <c r="C159" t="s">
        <v>547</v>
      </c>
      <c r="D159" t="s">
        <v>550</v>
      </c>
      <c r="E159" t="s">
        <v>206</v>
      </c>
      <c r="F159" t="s">
        <v>88</v>
      </c>
      <c r="G159">
        <v>35.0625</v>
      </c>
      <c r="H159">
        <v>-83.153891999999999</v>
      </c>
      <c r="I159">
        <v>1</v>
      </c>
      <c r="K159" t="s">
        <v>107</v>
      </c>
      <c r="L159">
        <v>1</v>
      </c>
      <c r="M159" t="s">
        <v>147</v>
      </c>
      <c r="N159" t="s">
        <v>91</v>
      </c>
      <c r="O159" t="s">
        <v>92</v>
      </c>
      <c r="S159" t="s">
        <v>108</v>
      </c>
      <c r="T159" t="s">
        <v>102</v>
      </c>
      <c r="U159" t="s">
        <v>186</v>
      </c>
    </row>
    <row r="160" spans="1:21" x14ac:dyDescent="0.3">
      <c r="A160" t="s">
        <v>551</v>
      </c>
      <c r="B160" s="6" t="str">
        <f>HYPERLINK("http://data.ntsb.gov/carol-repgen/api/Aviation/ReportMain/GenerateNewestReport/99149/pdf","AccidentReport")</f>
        <v>AccidentReport</v>
      </c>
      <c r="C160" t="s">
        <v>547</v>
      </c>
      <c r="D160" t="s">
        <v>367</v>
      </c>
      <c r="E160" t="s">
        <v>98</v>
      </c>
      <c r="F160" t="s">
        <v>88</v>
      </c>
      <c r="G160">
        <v>28.776945000000001</v>
      </c>
      <c r="H160">
        <v>-81.234999999999999</v>
      </c>
      <c r="K160" t="s">
        <v>89</v>
      </c>
      <c r="L160">
        <v>1</v>
      </c>
      <c r="M160" t="s">
        <v>90</v>
      </c>
      <c r="N160" t="s">
        <v>91</v>
      </c>
      <c r="O160" t="s">
        <v>92</v>
      </c>
      <c r="S160" t="s">
        <v>108</v>
      </c>
      <c r="T160" t="s">
        <v>442</v>
      </c>
      <c r="U160" t="s">
        <v>221</v>
      </c>
    </row>
    <row r="161" spans="1:21" x14ac:dyDescent="0.3">
      <c r="A161" t="s">
        <v>552</v>
      </c>
      <c r="B161" s="6" t="str">
        <f>HYPERLINK("http://data.ntsb.gov/carol-repgen/api/Aviation/ReportMain/GenerateNewestReport/99276/pdf","AccidentReport")</f>
        <v>AccidentReport</v>
      </c>
      <c r="C161" t="s">
        <v>547</v>
      </c>
      <c r="D161" t="s">
        <v>553</v>
      </c>
      <c r="E161" t="s">
        <v>106</v>
      </c>
      <c r="F161" t="s">
        <v>88</v>
      </c>
      <c r="G161">
        <v>32.815555000000003</v>
      </c>
      <c r="H161">
        <v>-117.13972</v>
      </c>
      <c r="K161" t="s">
        <v>89</v>
      </c>
      <c r="L161">
        <v>1</v>
      </c>
      <c r="M161" t="s">
        <v>90</v>
      </c>
      <c r="N161" t="s">
        <v>91</v>
      </c>
      <c r="O161" t="s">
        <v>92</v>
      </c>
      <c r="S161" t="s">
        <v>108</v>
      </c>
      <c r="T161" t="s">
        <v>139</v>
      </c>
      <c r="U161" t="s">
        <v>186</v>
      </c>
    </row>
    <row r="162" spans="1:21" x14ac:dyDescent="0.3">
      <c r="A162" t="s">
        <v>554</v>
      </c>
      <c r="B162" s="6" t="str">
        <f>HYPERLINK("http://data.ntsb.gov/carol-repgen/api/Aviation/ReportMain/GenerateNewestReport/99123/pdf","AccidentReport")</f>
        <v>AccidentReport</v>
      </c>
      <c r="C162" t="s">
        <v>555</v>
      </c>
      <c r="D162" t="s">
        <v>556</v>
      </c>
      <c r="E162" t="s">
        <v>176</v>
      </c>
      <c r="F162" t="s">
        <v>88</v>
      </c>
      <c r="G162">
        <v>46.566943999999999</v>
      </c>
      <c r="H162">
        <v>-120.537223</v>
      </c>
      <c r="K162" t="s">
        <v>89</v>
      </c>
      <c r="L162">
        <v>1</v>
      </c>
      <c r="M162" t="s">
        <v>90</v>
      </c>
      <c r="N162" t="s">
        <v>91</v>
      </c>
      <c r="O162" t="s">
        <v>92</v>
      </c>
      <c r="S162" t="s">
        <v>93</v>
      </c>
      <c r="T162" t="s">
        <v>94</v>
      </c>
      <c r="U162" t="s">
        <v>95</v>
      </c>
    </row>
    <row r="163" spans="1:21" x14ac:dyDescent="0.3">
      <c r="A163" t="s">
        <v>557</v>
      </c>
      <c r="B163" s="6" t="str">
        <f>HYPERLINK("http://data.ntsb.gov/carol-repgen/api/Aviation/ReportMain/GenerateNewestReport/99125/pdf","AccidentReport")</f>
        <v>AccidentReport</v>
      </c>
      <c r="C163" t="s">
        <v>555</v>
      </c>
      <c r="D163" t="s">
        <v>558</v>
      </c>
      <c r="E163" t="s">
        <v>251</v>
      </c>
      <c r="F163" t="s">
        <v>88</v>
      </c>
      <c r="G163">
        <v>44.670276000000001</v>
      </c>
      <c r="H163">
        <v>-121.155281</v>
      </c>
      <c r="K163" t="s">
        <v>89</v>
      </c>
      <c r="L163">
        <v>1</v>
      </c>
      <c r="M163" t="s">
        <v>90</v>
      </c>
      <c r="N163" t="s">
        <v>91</v>
      </c>
      <c r="O163" t="s">
        <v>92</v>
      </c>
      <c r="S163" t="s">
        <v>93</v>
      </c>
      <c r="T163" t="s">
        <v>94</v>
      </c>
      <c r="U163" t="s">
        <v>95</v>
      </c>
    </row>
    <row r="164" spans="1:21" x14ac:dyDescent="0.3">
      <c r="A164" t="s">
        <v>559</v>
      </c>
      <c r="B164" s="6" t="str">
        <f>HYPERLINK("http://data.ntsb.gov/carol-repgen/api/Aviation/ReportMain/GenerateNewestReport/99132/pdf","AccidentReport")</f>
        <v>AccidentReport</v>
      </c>
      <c r="C164" t="s">
        <v>555</v>
      </c>
      <c r="D164" t="s">
        <v>560</v>
      </c>
      <c r="E164" t="s">
        <v>457</v>
      </c>
      <c r="F164" t="s">
        <v>88</v>
      </c>
      <c r="G164">
        <v>39.464168000000001</v>
      </c>
      <c r="H164">
        <v>-92.431944999999999</v>
      </c>
      <c r="K164" t="s">
        <v>89</v>
      </c>
      <c r="L164">
        <v>1</v>
      </c>
      <c r="M164" t="s">
        <v>90</v>
      </c>
      <c r="N164" t="s">
        <v>91</v>
      </c>
      <c r="O164" t="s">
        <v>92</v>
      </c>
      <c r="S164" t="s">
        <v>166</v>
      </c>
      <c r="T164" t="s">
        <v>94</v>
      </c>
      <c r="U164" t="s">
        <v>95</v>
      </c>
    </row>
    <row r="165" spans="1:21" x14ac:dyDescent="0.3">
      <c r="A165" t="s">
        <v>561</v>
      </c>
      <c r="B165" s="6" t="str">
        <f>HYPERLINK("http://data.ntsb.gov/carol-repgen/api/Aviation/ReportMain/GenerateNewestReport/99143/pdf","AccidentReport")</f>
        <v>AccidentReport</v>
      </c>
      <c r="C165" t="s">
        <v>555</v>
      </c>
      <c r="D165" t="s">
        <v>562</v>
      </c>
      <c r="E165" t="s">
        <v>518</v>
      </c>
      <c r="F165" t="s">
        <v>88</v>
      </c>
      <c r="G165">
        <v>42.456943000000003</v>
      </c>
      <c r="H165">
        <v>-91.947776000000005</v>
      </c>
      <c r="K165" t="s">
        <v>155</v>
      </c>
      <c r="L165">
        <v>1</v>
      </c>
      <c r="M165" t="s">
        <v>90</v>
      </c>
      <c r="N165" t="s">
        <v>91</v>
      </c>
      <c r="O165" t="s">
        <v>92</v>
      </c>
      <c r="S165" t="s">
        <v>108</v>
      </c>
      <c r="T165" t="s">
        <v>159</v>
      </c>
      <c r="U165" t="s">
        <v>103</v>
      </c>
    </row>
    <row r="166" spans="1:21" x14ac:dyDescent="0.3">
      <c r="A166" t="s">
        <v>563</v>
      </c>
      <c r="B166" s="6" t="str">
        <f>HYPERLINK("http://data.ntsb.gov/carol-repgen/api/Aviation/ReportMain/GenerateNewestReport/99129/pdf","AccidentReport")</f>
        <v>AccidentReport</v>
      </c>
      <c r="C166" t="s">
        <v>564</v>
      </c>
      <c r="D166" t="s">
        <v>565</v>
      </c>
      <c r="E166" t="s">
        <v>233</v>
      </c>
      <c r="F166" t="s">
        <v>88</v>
      </c>
      <c r="G166">
        <v>62.333056999999997</v>
      </c>
      <c r="H166">
        <v>-150.07861299999999</v>
      </c>
      <c r="K166" t="s">
        <v>89</v>
      </c>
      <c r="L166">
        <v>1</v>
      </c>
      <c r="M166" t="s">
        <v>90</v>
      </c>
      <c r="N166" t="s">
        <v>91</v>
      </c>
      <c r="O166" t="s">
        <v>92</v>
      </c>
      <c r="S166" t="s">
        <v>93</v>
      </c>
      <c r="T166" t="s">
        <v>102</v>
      </c>
      <c r="U166" t="s">
        <v>248</v>
      </c>
    </row>
    <row r="167" spans="1:21" x14ac:dyDescent="0.3">
      <c r="A167" t="s">
        <v>566</v>
      </c>
      <c r="B167" s="6" t="str">
        <f>HYPERLINK("http://data.ntsb.gov/carol-repgen/api/Aviation/ReportMain/GenerateNewestReport/99118/pdf","AccidentReport")</f>
        <v>AccidentReport</v>
      </c>
      <c r="C167" t="s">
        <v>564</v>
      </c>
      <c r="D167" t="s">
        <v>567</v>
      </c>
      <c r="E167" t="s">
        <v>106</v>
      </c>
      <c r="F167" t="s">
        <v>88</v>
      </c>
      <c r="G167">
        <v>33.938330999999998</v>
      </c>
      <c r="H167">
        <v>-117.486389</v>
      </c>
      <c r="I167">
        <v>1</v>
      </c>
      <c r="K167" t="s">
        <v>107</v>
      </c>
      <c r="L167">
        <v>1</v>
      </c>
      <c r="M167" t="s">
        <v>90</v>
      </c>
      <c r="N167" t="s">
        <v>91</v>
      </c>
      <c r="O167" t="s">
        <v>92</v>
      </c>
      <c r="S167" t="s">
        <v>108</v>
      </c>
      <c r="T167" t="s">
        <v>159</v>
      </c>
      <c r="U167" t="s">
        <v>150</v>
      </c>
    </row>
    <row r="168" spans="1:21" x14ac:dyDescent="0.3">
      <c r="A168" t="s">
        <v>568</v>
      </c>
      <c r="B168" s="6" t="str">
        <f>HYPERLINK("http://data.ntsb.gov/carol-repgen/api/Aviation/ReportMain/GenerateNewestReport/99120/pdf","AccidentReport")</f>
        <v>AccidentReport</v>
      </c>
      <c r="C168" t="s">
        <v>569</v>
      </c>
      <c r="D168" t="s">
        <v>570</v>
      </c>
      <c r="E168" t="s">
        <v>142</v>
      </c>
      <c r="F168" t="s">
        <v>88</v>
      </c>
      <c r="G168">
        <v>40.188330999999998</v>
      </c>
      <c r="H168">
        <v>-83.204443999999995</v>
      </c>
      <c r="I168">
        <v>1</v>
      </c>
      <c r="K168" t="s">
        <v>107</v>
      </c>
      <c r="L168">
        <v>1</v>
      </c>
      <c r="M168" t="s">
        <v>147</v>
      </c>
      <c r="N168" t="s">
        <v>91</v>
      </c>
      <c r="O168" t="s">
        <v>92</v>
      </c>
      <c r="S168" t="s">
        <v>173</v>
      </c>
      <c r="T168" t="s">
        <v>102</v>
      </c>
      <c r="U168" t="s">
        <v>186</v>
      </c>
    </row>
    <row r="169" spans="1:21" x14ac:dyDescent="0.3">
      <c r="A169" t="s">
        <v>571</v>
      </c>
      <c r="B169" s="6" t="str">
        <f>HYPERLINK("http://data.ntsb.gov/carol-repgen/api/Aviation/ReportMain/GenerateNewestReport/99130/pdf","AccidentReport")</f>
        <v>AccidentReport</v>
      </c>
      <c r="C169" t="s">
        <v>569</v>
      </c>
      <c r="D169" t="s">
        <v>572</v>
      </c>
      <c r="E169" t="s">
        <v>251</v>
      </c>
      <c r="F169" t="s">
        <v>88</v>
      </c>
      <c r="G169">
        <v>45.320712999999998</v>
      </c>
      <c r="H169">
        <v>-122.980163</v>
      </c>
      <c r="K169" t="s">
        <v>89</v>
      </c>
      <c r="L169">
        <v>1</v>
      </c>
      <c r="M169" t="s">
        <v>90</v>
      </c>
      <c r="N169" t="s">
        <v>100</v>
      </c>
      <c r="O169" t="s">
        <v>92</v>
      </c>
      <c r="S169" t="s">
        <v>108</v>
      </c>
      <c r="T169" t="s">
        <v>159</v>
      </c>
      <c r="U169" t="s">
        <v>186</v>
      </c>
    </row>
    <row r="170" spans="1:21" x14ac:dyDescent="0.3">
      <c r="A170" t="s">
        <v>573</v>
      </c>
      <c r="B170" s="6" t="str">
        <f>HYPERLINK("http://data.ntsb.gov/carol-repgen/api/Aviation/ReportMain/GenerateNewestReport/99141/pdf","AccidentReport")</f>
        <v>AccidentReport</v>
      </c>
      <c r="C170" t="s">
        <v>569</v>
      </c>
      <c r="D170" t="s">
        <v>289</v>
      </c>
      <c r="E170" t="s">
        <v>290</v>
      </c>
      <c r="F170" t="s">
        <v>88</v>
      </c>
      <c r="G170">
        <v>39.669998</v>
      </c>
      <c r="H170">
        <v>-119.879997</v>
      </c>
      <c r="K170" t="s">
        <v>89</v>
      </c>
      <c r="L170">
        <v>1</v>
      </c>
      <c r="M170" t="s">
        <v>90</v>
      </c>
      <c r="N170" t="s">
        <v>91</v>
      </c>
      <c r="O170" t="s">
        <v>92</v>
      </c>
      <c r="S170" t="s">
        <v>108</v>
      </c>
      <c r="T170" t="s">
        <v>94</v>
      </c>
      <c r="U170" t="s">
        <v>95</v>
      </c>
    </row>
    <row r="171" spans="1:21" x14ac:dyDescent="0.3">
      <c r="A171" t="s">
        <v>574</v>
      </c>
      <c r="B171" s="6" t="str">
        <f>HYPERLINK("http://data.ntsb.gov/carol-repgen/api/Aviation/ReportMain/GenerateNewestReport/99131/pdf","AccidentReport")</f>
        <v>AccidentReport</v>
      </c>
      <c r="C171" t="s">
        <v>575</v>
      </c>
      <c r="D171" t="s">
        <v>576</v>
      </c>
      <c r="E171" t="s">
        <v>165</v>
      </c>
      <c r="F171" t="s">
        <v>88</v>
      </c>
      <c r="G171">
        <v>35.604441999999999</v>
      </c>
      <c r="H171">
        <v>-97.705557999999996</v>
      </c>
      <c r="I171">
        <v>2</v>
      </c>
      <c r="K171" t="s">
        <v>107</v>
      </c>
      <c r="L171">
        <v>1</v>
      </c>
      <c r="M171" t="s">
        <v>147</v>
      </c>
      <c r="N171" t="s">
        <v>91</v>
      </c>
      <c r="O171" t="s">
        <v>92</v>
      </c>
      <c r="P171" t="s">
        <v>234</v>
      </c>
      <c r="Q171" t="s">
        <v>577</v>
      </c>
      <c r="S171" t="s">
        <v>108</v>
      </c>
      <c r="T171" t="s">
        <v>102</v>
      </c>
      <c r="U171" t="s">
        <v>150</v>
      </c>
    </row>
    <row r="172" spans="1:21" x14ac:dyDescent="0.3">
      <c r="A172" t="s">
        <v>578</v>
      </c>
      <c r="B172" s="6" t="str">
        <f>HYPERLINK("http://data.ntsb.gov/carol-repgen/api/Aviation/ReportMain/GenerateNewestReport/99207/pdf","AccidentReport")</f>
        <v>AccidentReport</v>
      </c>
      <c r="C172" t="s">
        <v>575</v>
      </c>
      <c r="D172" t="s">
        <v>579</v>
      </c>
      <c r="E172" t="s">
        <v>251</v>
      </c>
      <c r="F172" t="s">
        <v>88</v>
      </c>
      <c r="G172">
        <v>44.497222000000001</v>
      </c>
      <c r="H172">
        <v>-123.28944300000001</v>
      </c>
      <c r="K172" t="s">
        <v>89</v>
      </c>
      <c r="L172">
        <v>1</v>
      </c>
      <c r="M172" t="s">
        <v>90</v>
      </c>
      <c r="N172" t="s">
        <v>91</v>
      </c>
      <c r="O172" t="s">
        <v>92</v>
      </c>
      <c r="S172" t="s">
        <v>108</v>
      </c>
      <c r="T172" t="s">
        <v>94</v>
      </c>
      <c r="U172" t="s">
        <v>95</v>
      </c>
    </row>
    <row r="173" spans="1:21" x14ac:dyDescent="0.3">
      <c r="A173" t="s">
        <v>580</v>
      </c>
      <c r="B173" s="6" t="str">
        <f>HYPERLINK("http://data.ntsb.gov/carol-repgen/api/Aviation/ReportMain/GenerateNewestReport/99144/pdf","AccidentReport")</f>
        <v>AccidentReport</v>
      </c>
      <c r="C173" t="s">
        <v>581</v>
      </c>
      <c r="D173" t="s">
        <v>582</v>
      </c>
      <c r="E173" t="s">
        <v>165</v>
      </c>
      <c r="F173" t="s">
        <v>88</v>
      </c>
      <c r="G173">
        <v>34.303890000000003</v>
      </c>
      <c r="H173">
        <v>-97.020553000000007</v>
      </c>
      <c r="K173" t="s">
        <v>89</v>
      </c>
      <c r="L173">
        <v>1</v>
      </c>
      <c r="M173" t="s">
        <v>90</v>
      </c>
      <c r="N173" t="s">
        <v>100</v>
      </c>
      <c r="O173" t="s">
        <v>92</v>
      </c>
      <c r="S173" t="s">
        <v>108</v>
      </c>
      <c r="T173" t="s">
        <v>442</v>
      </c>
      <c r="U173" t="s">
        <v>186</v>
      </c>
    </row>
    <row r="174" spans="1:21" x14ac:dyDescent="0.3">
      <c r="A174" t="s">
        <v>583</v>
      </c>
      <c r="B174" s="6" t="str">
        <f>HYPERLINK("http://data.ntsb.gov/carol-repgen/api/Aviation/ReportMain/GenerateNewestReport/99148/pdf","AccidentReport")</f>
        <v>AccidentReport</v>
      </c>
      <c r="C174" t="s">
        <v>581</v>
      </c>
      <c r="D174" t="s">
        <v>584</v>
      </c>
      <c r="E174" t="s">
        <v>356</v>
      </c>
      <c r="F174" t="s">
        <v>88</v>
      </c>
      <c r="G174">
        <v>33.383335000000002</v>
      </c>
      <c r="H174">
        <v>-84.631668000000005</v>
      </c>
      <c r="J174">
        <v>1</v>
      </c>
      <c r="K174" t="s">
        <v>99</v>
      </c>
      <c r="L174">
        <v>1</v>
      </c>
      <c r="M174" t="s">
        <v>90</v>
      </c>
      <c r="N174" t="s">
        <v>309</v>
      </c>
      <c r="O174" t="s">
        <v>92</v>
      </c>
      <c r="S174" t="s">
        <v>108</v>
      </c>
      <c r="T174" t="s">
        <v>94</v>
      </c>
      <c r="U174" t="s">
        <v>95</v>
      </c>
    </row>
    <row r="175" spans="1:21" x14ac:dyDescent="0.3">
      <c r="A175" t="s">
        <v>585</v>
      </c>
      <c r="B175" s="6" t="str">
        <f>HYPERLINK("http://data.ntsb.gov/carol-repgen/api/Aviation/ReportMain/GenerateNewestReport/99165/pdf","AccidentReport")</f>
        <v>AccidentReport</v>
      </c>
      <c r="C175" t="s">
        <v>581</v>
      </c>
      <c r="D175" t="s">
        <v>586</v>
      </c>
      <c r="E175" t="s">
        <v>356</v>
      </c>
      <c r="F175" t="s">
        <v>88</v>
      </c>
      <c r="G175">
        <v>32.128334000000002</v>
      </c>
      <c r="H175">
        <v>-81.198333000000005</v>
      </c>
      <c r="K175" t="s">
        <v>89</v>
      </c>
      <c r="L175">
        <v>1</v>
      </c>
      <c r="M175" t="s">
        <v>90</v>
      </c>
      <c r="N175" t="s">
        <v>91</v>
      </c>
      <c r="O175" t="s">
        <v>92</v>
      </c>
      <c r="S175" t="s">
        <v>108</v>
      </c>
      <c r="T175" t="s">
        <v>587</v>
      </c>
      <c r="U175" t="s">
        <v>222</v>
      </c>
    </row>
    <row r="176" spans="1:21" x14ac:dyDescent="0.3">
      <c r="A176" t="s">
        <v>588</v>
      </c>
      <c r="B176" s="6" t="str">
        <f>HYPERLINK("http://data.ntsb.gov/carol-repgen/api/Aviation/ReportMain/GenerateNewestReport/99184/pdf","AccidentReport")</f>
        <v>AccidentReport</v>
      </c>
      <c r="C176" t="s">
        <v>581</v>
      </c>
      <c r="D176" t="s">
        <v>589</v>
      </c>
      <c r="E176" t="s">
        <v>395</v>
      </c>
      <c r="F176" t="s">
        <v>88</v>
      </c>
      <c r="G176">
        <v>19.808055</v>
      </c>
      <c r="H176">
        <v>-155.99833599999999</v>
      </c>
      <c r="K176" t="s">
        <v>155</v>
      </c>
      <c r="L176">
        <v>1</v>
      </c>
      <c r="M176" t="s">
        <v>90</v>
      </c>
      <c r="N176" t="s">
        <v>309</v>
      </c>
      <c r="O176" t="s">
        <v>92</v>
      </c>
      <c r="S176" t="s">
        <v>108</v>
      </c>
      <c r="T176" t="s">
        <v>159</v>
      </c>
      <c r="U176" t="s">
        <v>103</v>
      </c>
    </row>
    <row r="177" spans="1:21" x14ac:dyDescent="0.3">
      <c r="A177" t="s">
        <v>590</v>
      </c>
      <c r="B177" s="6" t="str">
        <f>HYPERLINK("http://data.ntsb.gov/carol-repgen/api/Aviation/ReportMain/GenerateNewestReport/99332/pdf","AccidentReport")</f>
        <v>AccidentReport</v>
      </c>
      <c r="C177" t="s">
        <v>591</v>
      </c>
      <c r="D177" t="s">
        <v>592</v>
      </c>
      <c r="E177" t="s">
        <v>228</v>
      </c>
      <c r="F177" t="s">
        <v>88</v>
      </c>
      <c r="G177">
        <v>30.093333999999999</v>
      </c>
      <c r="H177">
        <v>-92.076942000000003</v>
      </c>
      <c r="K177" t="s">
        <v>89</v>
      </c>
      <c r="L177">
        <v>1</v>
      </c>
      <c r="M177" t="s">
        <v>90</v>
      </c>
      <c r="N177" t="s">
        <v>91</v>
      </c>
      <c r="O177" t="s">
        <v>92</v>
      </c>
      <c r="S177" t="s">
        <v>108</v>
      </c>
      <c r="T177" t="s">
        <v>159</v>
      </c>
      <c r="U177" t="s">
        <v>103</v>
      </c>
    </row>
    <row r="178" spans="1:21" x14ac:dyDescent="0.3">
      <c r="A178" t="s">
        <v>593</v>
      </c>
      <c r="B178" s="6" t="str">
        <f>HYPERLINK("http://data.ntsb.gov/carol-repgen/api/Aviation/ReportMain/GenerateNewestReport/99208/pdf","AccidentReport")</f>
        <v>AccidentReport</v>
      </c>
      <c r="C178" t="s">
        <v>591</v>
      </c>
      <c r="D178" t="s">
        <v>594</v>
      </c>
      <c r="E178" t="s">
        <v>98</v>
      </c>
      <c r="F178" t="s">
        <v>88</v>
      </c>
      <c r="G178">
        <v>25.998888000000001</v>
      </c>
      <c r="H178">
        <v>-80.240279999999998</v>
      </c>
      <c r="K178" t="s">
        <v>89</v>
      </c>
      <c r="L178">
        <v>1</v>
      </c>
      <c r="M178" t="s">
        <v>155</v>
      </c>
      <c r="N178" t="s">
        <v>91</v>
      </c>
      <c r="O178" t="s">
        <v>92</v>
      </c>
      <c r="S178" t="s">
        <v>93</v>
      </c>
      <c r="T178" t="s">
        <v>220</v>
      </c>
      <c r="U178" t="s">
        <v>221</v>
      </c>
    </row>
    <row r="179" spans="1:21" x14ac:dyDescent="0.3">
      <c r="A179" t="s">
        <v>593</v>
      </c>
      <c r="B179" s="6" t="str">
        <f>HYPERLINK("http://data.ntsb.gov/carol-repgen/api/Aviation/ReportMain/GenerateNewestReport/99208/pdf","AccidentReport")</f>
        <v>AccidentReport</v>
      </c>
      <c r="C179" t="s">
        <v>591</v>
      </c>
      <c r="D179" t="s">
        <v>594</v>
      </c>
      <c r="E179" t="s">
        <v>98</v>
      </c>
      <c r="F179" t="s">
        <v>88</v>
      </c>
      <c r="G179">
        <v>25.998888000000001</v>
      </c>
      <c r="H179">
        <v>-80.240279999999998</v>
      </c>
      <c r="K179" t="s">
        <v>89</v>
      </c>
      <c r="L179">
        <v>2</v>
      </c>
      <c r="M179" t="s">
        <v>90</v>
      </c>
      <c r="N179" t="s">
        <v>91</v>
      </c>
      <c r="O179" t="s">
        <v>92</v>
      </c>
      <c r="S179" t="s">
        <v>93</v>
      </c>
      <c r="T179" t="s">
        <v>220</v>
      </c>
      <c r="U179" t="s">
        <v>222</v>
      </c>
    </row>
    <row r="180" spans="1:21" x14ac:dyDescent="0.3">
      <c r="A180" t="s">
        <v>595</v>
      </c>
      <c r="B180" s="6" t="str">
        <f>HYPERLINK("http://data.ntsb.gov/carol-repgen/api/Aviation/ReportMain/GenerateNewestReport/99171/pdf","AccidentReport")</f>
        <v>AccidentReport</v>
      </c>
      <c r="C180" t="s">
        <v>596</v>
      </c>
      <c r="D180" t="s">
        <v>597</v>
      </c>
      <c r="E180" t="s">
        <v>131</v>
      </c>
      <c r="F180" t="s">
        <v>88</v>
      </c>
      <c r="G180">
        <v>40.451946</v>
      </c>
      <c r="H180">
        <v>-105.01139000000001</v>
      </c>
      <c r="J180">
        <v>1</v>
      </c>
      <c r="K180" t="s">
        <v>99</v>
      </c>
      <c r="L180">
        <v>1</v>
      </c>
      <c r="M180" t="s">
        <v>90</v>
      </c>
      <c r="N180" t="s">
        <v>91</v>
      </c>
      <c r="O180" t="s">
        <v>92</v>
      </c>
      <c r="S180" t="s">
        <v>108</v>
      </c>
      <c r="T180" t="s">
        <v>102</v>
      </c>
      <c r="U180" t="s">
        <v>119</v>
      </c>
    </row>
    <row r="181" spans="1:21" x14ac:dyDescent="0.3">
      <c r="A181" t="s">
        <v>598</v>
      </c>
      <c r="B181" s="6" t="str">
        <f>HYPERLINK("http://data.ntsb.gov/carol-repgen/api/Aviation/ReportMain/GenerateNewestReport/99183/pdf","AccidentReport")</f>
        <v>AccidentReport</v>
      </c>
      <c r="C181" t="s">
        <v>596</v>
      </c>
      <c r="D181" t="s">
        <v>599</v>
      </c>
      <c r="E181" t="s">
        <v>228</v>
      </c>
      <c r="F181" t="s">
        <v>88</v>
      </c>
      <c r="G181">
        <v>30.240469999999998</v>
      </c>
      <c r="H181">
        <v>-91.989684999999994</v>
      </c>
      <c r="K181" t="s">
        <v>89</v>
      </c>
      <c r="L181">
        <v>1</v>
      </c>
      <c r="M181" t="s">
        <v>90</v>
      </c>
      <c r="N181" t="s">
        <v>91</v>
      </c>
      <c r="O181" t="s">
        <v>92</v>
      </c>
      <c r="S181" t="s">
        <v>108</v>
      </c>
      <c r="T181" t="s">
        <v>94</v>
      </c>
      <c r="U181" t="s">
        <v>221</v>
      </c>
    </row>
    <row r="182" spans="1:21" x14ac:dyDescent="0.3">
      <c r="A182" t="s">
        <v>600</v>
      </c>
      <c r="B182" s="6" t="str">
        <f>HYPERLINK("http://data.ntsb.gov/carol-repgen/api/Aviation/ReportMain/GenerateNewestReport/99153/pdf","AccidentReport")</f>
        <v>AccidentReport</v>
      </c>
      <c r="C182" t="s">
        <v>596</v>
      </c>
      <c r="D182" t="s">
        <v>601</v>
      </c>
      <c r="E182" t="s">
        <v>356</v>
      </c>
      <c r="F182" t="s">
        <v>88</v>
      </c>
      <c r="G182">
        <v>34.451388999999999</v>
      </c>
      <c r="H182">
        <v>-84.950835999999995</v>
      </c>
      <c r="I182">
        <v>1</v>
      </c>
      <c r="K182" t="s">
        <v>107</v>
      </c>
      <c r="L182">
        <v>1</v>
      </c>
      <c r="M182" t="s">
        <v>90</v>
      </c>
      <c r="N182" t="s">
        <v>91</v>
      </c>
      <c r="O182" t="s">
        <v>92</v>
      </c>
      <c r="S182" t="s">
        <v>418</v>
      </c>
      <c r="T182" t="s">
        <v>102</v>
      </c>
      <c r="U182" t="s">
        <v>119</v>
      </c>
    </row>
    <row r="183" spans="1:21" x14ac:dyDescent="0.3">
      <c r="A183" t="s">
        <v>602</v>
      </c>
      <c r="B183" s="6" t="str">
        <f>HYPERLINK("http://data.ntsb.gov/carol-repgen/api/Aviation/ReportMain/GenerateNewestReport/99167/pdf","AccidentReport")</f>
        <v>AccidentReport</v>
      </c>
      <c r="C183" t="s">
        <v>596</v>
      </c>
      <c r="D183" t="s">
        <v>603</v>
      </c>
      <c r="E183" t="s">
        <v>138</v>
      </c>
      <c r="F183" t="s">
        <v>88</v>
      </c>
      <c r="G183">
        <v>43.576946</v>
      </c>
      <c r="H183">
        <v>-85.283889000000002</v>
      </c>
      <c r="K183" t="s">
        <v>89</v>
      </c>
      <c r="L183">
        <v>1</v>
      </c>
      <c r="M183" t="s">
        <v>90</v>
      </c>
      <c r="N183" t="s">
        <v>91</v>
      </c>
      <c r="O183" t="s">
        <v>92</v>
      </c>
      <c r="S183" t="s">
        <v>108</v>
      </c>
      <c r="T183" t="s">
        <v>94</v>
      </c>
      <c r="U183" t="s">
        <v>95</v>
      </c>
    </row>
    <row r="184" spans="1:21" x14ac:dyDescent="0.3">
      <c r="A184" t="s">
        <v>604</v>
      </c>
      <c r="B184" s="6" t="str">
        <f>HYPERLINK("http://data.ntsb.gov/carol-repgen/api/Aviation/ReportMain/GenerateNewestReport/99179/pdf","AccidentReport")</f>
        <v>AccidentReport</v>
      </c>
      <c r="C184" t="s">
        <v>596</v>
      </c>
      <c r="D184" t="s">
        <v>605</v>
      </c>
      <c r="E184" t="s">
        <v>128</v>
      </c>
      <c r="F184" t="s">
        <v>88</v>
      </c>
      <c r="G184">
        <v>32.260241999999998</v>
      </c>
      <c r="H184">
        <v>-107.749702</v>
      </c>
      <c r="J184">
        <v>1</v>
      </c>
      <c r="K184" t="s">
        <v>99</v>
      </c>
      <c r="L184">
        <v>1</v>
      </c>
      <c r="M184" t="s">
        <v>90</v>
      </c>
      <c r="N184" t="s">
        <v>91</v>
      </c>
      <c r="O184" t="s">
        <v>92</v>
      </c>
      <c r="S184" t="s">
        <v>108</v>
      </c>
      <c r="T184" t="s">
        <v>118</v>
      </c>
      <c r="U184" t="s">
        <v>150</v>
      </c>
    </row>
    <row r="185" spans="1:21" x14ac:dyDescent="0.3">
      <c r="A185" t="s">
        <v>606</v>
      </c>
      <c r="B185" s="6" t="str">
        <f>HYPERLINK("http://data.ntsb.gov/carol-repgen/api/Aviation/ReportMain/GenerateNewestReport/99156/pdf","AccidentReport")</f>
        <v>AccidentReport</v>
      </c>
      <c r="C185" t="s">
        <v>607</v>
      </c>
      <c r="D185" t="s">
        <v>608</v>
      </c>
      <c r="E185" t="s">
        <v>206</v>
      </c>
      <c r="F185" t="s">
        <v>88</v>
      </c>
      <c r="G185">
        <v>36.4925</v>
      </c>
      <c r="H185">
        <v>-79.311667999999997</v>
      </c>
      <c r="J185">
        <v>1</v>
      </c>
      <c r="K185" t="s">
        <v>99</v>
      </c>
      <c r="L185">
        <v>1</v>
      </c>
      <c r="M185" t="s">
        <v>90</v>
      </c>
      <c r="N185" t="s">
        <v>91</v>
      </c>
      <c r="O185" t="s">
        <v>92</v>
      </c>
      <c r="S185" t="s">
        <v>108</v>
      </c>
      <c r="T185" t="s">
        <v>159</v>
      </c>
      <c r="U185" t="s">
        <v>150</v>
      </c>
    </row>
    <row r="186" spans="1:21" x14ac:dyDescent="0.3">
      <c r="A186" t="s">
        <v>609</v>
      </c>
      <c r="B186" s="6" t="str">
        <f>HYPERLINK("http://data.ntsb.gov/carol-repgen/api/Aviation/ReportMain/GenerateNewestReport/99173/pdf","AccidentReport")</f>
        <v>AccidentReport</v>
      </c>
      <c r="C186" t="s">
        <v>607</v>
      </c>
      <c r="D186" t="s">
        <v>610</v>
      </c>
      <c r="E186" t="s">
        <v>98</v>
      </c>
      <c r="F186" t="s">
        <v>88</v>
      </c>
      <c r="G186">
        <v>26.071387999999999</v>
      </c>
      <c r="H186">
        <v>-80.141670000000005</v>
      </c>
      <c r="K186" t="s">
        <v>89</v>
      </c>
      <c r="L186">
        <v>1</v>
      </c>
      <c r="M186" t="s">
        <v>90</v>
      </c>
      <c r="N186" t="s">
        <v>91</v>
      </c>
      <c r="O186" t="s">
        <v>92</v>
      </c>
      <c r="S186" t="s">
        <v>108</v>
      </c>
      <c r="T186" t="s">
        <v>139</v>
      </c>
      <c r="U186" t="s">
        <v>186</v>
      </c>
    </row>
    <row r="187" spans="1:21" x14ac:dyDescent="0.3">
      <c r="A187" t="s">
        <v>611</v>
      </c>
      <c r="B187" s="6" t="str">
        <f>HYPERLINK("http://data.ntsb.gov/carol-repgen/api/Aviation/ReportMain/GenerateNewestReport/99166/pdf","AccidentReport")</f>
        <v>AccidentReport</v>
      </c>
      <c r="C187" t="s">
        <v>607</v>
      </c>
      <c r="D187" t="s">
        <v>612</v>
      </c>
      <c r="E187" t="s">
        <v>613</v>
      </c>
      <c r="F187" t="s">
        <v>88</v>
      </c>
      <c r="G187">
        <v>35.979998999999999</v>
      </c>
      <c r="H187">
        <v>-94.069998999999996</v>
      </c>
      <c r="K187" t="s">
        <v>155</v>
      </c>
      <c r="L187">
        <v>1</v>
      </c>
      <c r="M187" t="s">
        <v>90</v>
      </c>
      <c r="N187" t="s">
        <v>91</v>
      </c>
      <c r="O187" t="s">
        <v>92</v>
      </c>
      <c r="S187" t="s">
        <v>108</v>
      </c>
      <c r="T187" t="s">
        <v>102</v>
      </c>
      <c r="U187" t="s">
        <v>150</v>
      </c>
    </row>
    <row r="188" spans="1:21" x14ac:dyDescent="0.3">
      <c r="A188" t="s">
        <v>614</v>
      </c>
      <c r="B188" s="6" t="str">
        <f>HYPERLINK("http://data.ntsb.gov/carol-repgen/api/Aviation/ReportMain/GenerateNewestReport/99176/pdf","AccidentReport")</f>
        <v>AccidentReport</v>
      </c>
      <c r="C188" t="s">
        <v>607</v>
      </c>
      <c r="D188" t="s">
        <v>294</v>
      </c>
      <c r="E188" t="s">
        <v>98</v>
      </c>
      <c r="F188" t="s">
        <v>88</v>
      </c>
      <c r="G188">
        <v>27.975555</v>
      </c>
      <c r="H188">
        <v>-82.533332000000001</v>
      </c>
      <c r="K188" t="s">
        <v>89</v>
      </c>
      <c r="L188">
        <v>1</v>
      </c>
      <c r="M188" t="s">
        <v>90</v>
      </c>
      <c r="N188" t="s">
        <v>91</v>
      </c>
      <c r="O188" t="s">
        <v>92</v>
      </c>
      <c r="S188" t="s">
        <v>108</v>
      </c>
      <c r="T188" t="s">
        <v>542</v>
      </c>
      <c r="U188" t="s">
        <v>186</v>
      </c>
    </row>
    <row r="189" spans="1:21" x14ac:dyDescent="0.3">
      <c r="A189" t="s">
        <v>615</v>
      </c>
      <c r="B189" s="6" t="str">
        <f>HYPERLINK("http://data.ntsb.gov/carol-repgen/api/Aviation/ReportMain/GenerateNewestReport/99347/pdf","AccidentReport")</f>
        <v>AccidentReport</v>
      </c>
      <c r="C189" t="s">
        <v>607</v>
      </c>
      <c r="D189" t="s">
        <v>616</v>
      </c>
      <c r="E189" t="s">
        <v>117</v>
      </c>
      <c r="F189" t="s">
        <v>88</v>
      </c>
      <c r="G189">
        <v>40.087501000000003</v>
      </c>
      <c r="H189">
        <v>-75.005554000000004</v>
      </c>
      <c r="K189" t="s">
        <v>89</v>
      </c>
      <c r="L189">
        <v>1</v>
      </c>
      <c r="M189" t="s">
        <v>90</v>
      </c>
      <c r="N189" t="s">
        <v>91</v>
      </c>
      <c r="O189" t="s">
        <v>92</v>
      </c>
      <c r="S189" t="s">
        <v>170</v>
      </c>
      <c r="T189" t="s">
        <v>109</v>
      </c>
      <c r="U189" t="s">
        <v>95</v>
      </c>
    </row>
    <row r="190" spans="1:21" x14ac:dyDescent="0.3">
      <c r="A190" t="s">
        <v>617</v>
      </c>
      <c r="B190" s="6" t="str">
        <f>HYPERLINK("http://data.ntsb.gov/carol-repgen/api/Aviation/ReportMain/GenerateNewestReport/99170/pdf","AccidentReport")</f>
        <v>AccidentReport</v>
      </c>
      <c r="C190" t="s">
        <v>618</v>
      </c>
      <c r="D190" t="s">
        <v>619</v>
      </c>
      <c r="E190" t="s">
        <v>98</v>
      </c>
      <c r="F190" t="s">
        <v>88</v>
      </c>
      <c r="G190">
        <v>26.323609999999999</v>
      </c>
      <c r="H190">
        <v>-80.943336000000002</v>
      </c>
      <c r="I190">
        <v>0</v>
      </c>
      <c r="J190">
        <v>1</v>
      </c>
      <c r="K190" t="s">
        <v>99</v>
      </c>
      <c r="L190">
        <v>1</v>
      </c>
      <c r="M190" t="s">
        <v>90</v>
      </c>
      <c r="N190" t="s">
        <v>91</v>
      </c>
      <c r="O190" t="s">
        <v>92</v>
      </c>
      <c r="S190" t="s">
        <v>108</v>
      </c>
      <c r="T190" t="s">
        <v>118</v>
      </c>
      <c r="U190" t="s">
        <v>186</v>
      </c>
    </row>
    <row r="191" spans="1:21" x14ac:dyDescent="0.3">
      <c r="A191" t="s">
        <v>620</v>
      </c>
      <c r="B191" s="6" t="str">
        <f>HYPERLINK("http://data.ntsb.gov/carol-repgen/api/Aviation/ReportMain/GenerateNewestReport/99187/pdf","AccidentReport")</f>
        <v>AccidentReport</v>
      </c>
      <c r="C191" t="s">
        <v>621</v>
      </c>
      <c r="D191" t="s">
        <v>622</v>
      </c>
      <c r="E191" t="s">
        <v>399</v>
      </c>
      <c r="F191" t="s">
        <v>88</v>
      </c>
      <c r="G191">
        <v>38.067779000000002</v>
      </c>
      <c r="H191">
        <v>-97.275276000000005</v>
      </c>
      <c r="K191" t="s">
        <v>89</v>
      </c>
      <c r="L191">
        <v>1</v>
      </c>
      <c r="M191" t="s">
        <v>90</v>
      </c>
      <c r="N191" t="s">
        <v>91</v>
      </c>
      <c r="O191" t="s">
        <v>92</v>
      </c>
      <c r="S191" t="s">
        <v>108</v>
      </c>
      <c r="T191" t="s">
        <v>159</v>
      </c>
      <c r="U191" t="s">
        <v>119</v>
      </c>
    </row>
    <row r="192" spans="1:21" x14ac:dyDescent="0.3">
      <c r="A192" t="s">
        <v>623</v>
      </c>
      <c r="B192" s="6" t="str">
        <f>HYPERLINK("http://data.ntsb.gov/carol-repgen/api/Aviation/ReportMain/GenerateNewestReport/99178/pdf","AccidentReport")</f>
        <v>AccidentReport</v>
      </c>
      <c r="C192" t="s">
        <v>621</v>
      </c>
      <c r="D192" t="s">
        <v>624</v>
      </c>
      <c r="E192" t="s">
        <v>98</v>
      </c>
      <c r="F192" t="s">
        <v>88</v>
      </c>
      <c r="G192">
        <v>30.118054999999998</v>
      </c>
      <c r="H192">
        <v>-82.915274999999994</v>
      </c>
      <c r="I192">
        <v>0</v>
      </c>
      <c r="J192">
        <v>0</v>
      </c>
      <c r="K192" t="s">
        <v>89</v>
      </c>
      <c r="L192">
        <v>1</v>
      </c>
      <c r="M192" t="s">
        <v>147</v>
      </c>
      <c r="N192" t="s">
        <v>91</v>
      </c>
      <c r="O192" t="s">
        <v>92</v>
      </c>
      <c r="S192" t="s">
        <v>108</v>
      </c>
      <c r="T192" t="s">
        <v>118</v>
      </c>
      <c r="U192" t="s">
        <v>248</v>
      </c>
    </row>
    <row r="193" spans="1:21" x14ac:dyDescent="0.3">
      <c r="A193" t="s">
        <v>625</v>
      </c>
      <c r="B193" s="6" t="str">
        <f>HYPERLINK("http://data.ntsb.gov/carol-repgen/api/Aviation/ReportMain/GenerateNewestReport/99213/pdf","AccidentReport")</f>
        <v>AccidentReport</v>
      </c>
      <c r="C193" t="s">
        <v>621</v>
      </c>
      <c r="D193" t="s">
        <v>626</v>
      </c>
      <c r="E193" t="s">
        <v>518</v>
      </c>
      <c r="F193" t="s">
        <v>88</v>
      </c>
      <c r="G193">
        <v>41.401111</v>
      </c>
      <c r="H193">
        <v>-92.945830999999998</v>
      </c>
      <c r="K193" t="s">
        <v>89</v>
      </c>
      <c r="L193">
        <v>1</v>
      </c>
      <c r="M193" t="s">
        <v>90</v>
      </c>
      <c r="N193" t="s">
        <v>91</v>
      </c>
      <c r="O193" t="s">
        <v>92</v>
      </c>
      <c r="S193" t="s">
        <v>93</v>
      </c>
      <c r="T193" t="s">
        <v>109</v>
      </c>
      <c r="U193" t="s">
        <v>95</v>
      </c>
    </row>
    <row r="194" spans="1:21" x14ac:dyDescent="0.3">
      <c r="A194" t="s">
        <v>627</v>
      </c>
      <c r="B194" s="6" t="str">
        <f>HYPERLINK("http://data.ntsb.gov/carol-repgen/api/Aviation/ReportMain/GenerateNewestReport/99185/pdf","AccidentReport")</f>
        <v>AccidentReport</v>
      </c>
      <c r="C194" t="s">
        <v>628</v>
      </c>
      <c r="D194" t="s">
        <v>629</v>
      </c>
      <c r="E194" t="s">
        <v>154</v>
      </c>
      <c r="F194" t="s">
        <v>88</v>
      </c>
      <c r="G194">
        <v>30.510278</v>
      </c>
      <c r="H194">
        <v>-95.770835000000005</v>
      </c>
      <c r="I194">
        <v>1</v>
      </c>
      <c r="J194">
        <v>2</v>
      </c>
      <c r="K194" t="s">
        <v>107</v>
      </c>
      <c r="L194">
        <v>1</v>
      </c>
      <c r="M194" t="s">
        <v>90</v>
      </c>
      <c r="N194" t="s">
        <v>100</v>
      </c>
      <c r="O194" t="s">
        <v>295</v>
      </c>
      <c r="S194" t="s">
        <v>421</v>
      </c>
      <c r="T194" t="s">
        <v>159</v>
      </c>
      <c r="U194" t="s">
        <v>103</v>
      </c>
    </row>
    <row r="195" spans="1:21" x14ac:dyDescent="0.3">
      <c r="A195" t="s">
        <v>630</v>
      </c>
      <c r="B195" s="6" t="str">
        <f>HYPERLINK("http://data.ntsb.gov/carol-repgen/api/Aviation/ReportMain/GenerateNewestReport/99188/pdf","AccidentReport")</f>
        <v>AccidentReport</v>
      </c>
      <c r="C195" t="s">
        <v>628</v>
      </c>
      <c r="D195" t="s">
        <v>631</v>
      </c>
      <c r="E195" t="s">
        <v>146</v>
      </c>
      <c r="F195" t="s">
        <v>88</v>
      </c>
      <c r="G195">
        <v>35.83361</v>
      </c>
      <c r="H195">
        <v>-83.494444999999999</v>
      </c>
      <c r="I195">
        <v>0</v>
      </c>
      <c r="K195" t="s">
        <v>89</v>
      </c>
      <c r="L195">
        <v>1</v>
      </c>
      <c r="M195" t="s">
        <v>90</v>
      </c>
      <c r="N195" t="s">
        <v>91</v>
      </c>
      <c r="O195" t="s">
        <v>92</v>
      </c>
      <c r="S195" t="s">
        <v>108</v>
      </c>
      <c r="T195" t="s">
        <v>159</v>
      </c>
      <c r="U195" t="s">
        <v>103</v>
      </c>
    </row>
    <row r="196" spans="1:21" x14ac:dyDescent="0.3">
      <c r="A196" t="s">
        <v>632</v>
      </c>
      <c r="B196" s="6" t="str">
        <f>HYPERLINK("http://data.ntsb.gov/carol-repgen/api/Aviation/ReportMain/GenerateNewestReport/99203/pdf","AccidentReport")</f>
        <v>AccidentReport</v>
      </c>
      <c r="C196" t="s">
        <v>633</v>
      </c>
      <c r="D196" t="s">
        <v>634</v>
      </c>
      <c r="E196" t="s">
        <v>154</v>
      </c>
      <c r="F196" t="s">
        <v>88</v>
      </c>
      <c r="G196">
        <v>30.061665999999999</v>
      </c>
      <c r="H196">
        <v>-95.552779999999998</v>
      </c>
      <c r="K196" t="s">
        <v>89</v>
      </c>
      <c r="L196">
        <v>1</v>
      </c>
      <c r="M196" t="s">
        <v>90</v>
      </c>
      <c r="N196" t="s">
        <v>91</v>
      </c>
      <c r="O196" t="s">
        <v>92</v>
      </c>
      <c r="S196" t="s">
        <v>108</v>
      </c>
      <c r="T196" t="s">
        <v>94</v>
      </c>
      <c r="U196" t="s">
        <v>221</v>
      </c>
    </row>
    <row r="197" spans="1:21" x14ac:dyDescent="0.3">
      <c r="A197" t="s">
        <v>635</v>
      </c>
      <c r="B197" s="6" t="str">
        <f>HYPERLINK("http://data.ntsb.gov/carol-repgen/api/Aviation/ReportMain/GenerateNewestReport/100700/pdf","AccidentReport")</f>
        <v>AccidentReport</v>
      </c>
      <c r="C197" t="s">
        <v>633</v>
      </c>
      <c r="D197" t="s">
        <v>636</v>
      </c>
      <c r="E197" t="s">
        <v>356</v>
      </c>
      <c r="F197" t="s">
        <v>88</v>
      </c>
      <c r="G197">
        <v>33.982776000000001</v>
      </c>
      <c r="H197">
        <v>-83.667220999999998</v>
      </c>
      <c r="I197">
        <v>0</v>
      </c>
      <c r="J197">
        <v>0</v>
      </c>
      <c r="K197" t="s">
        <v>89</v>
      </c>
      <c r="L197">
        <v>1</v>
      </c>
      <c r="M197" t="s">
        <v>90</v>
      </c>
      <c r="N197" t="s">
        <v>91</v>
      </c>
      <c r="O197" t="s">
        <v>92</v>
      </c>
      <c r="S197" t="s">
        <v>93</v>
      </c>
      <c r="T197" t="s">
        <v>411</v>
      </c>
      <c r="U197" t="s">
        <v>119</v>
      </c>
    </row>
    <row r="198" spans="1:21" x14ac:dyDescent="0.3">
      <c r="A198" t="s">
        <v>637</v>
      </c>
      <c r="B198" s="6" t="str">
        <f>HYPERLINK("http://data.ntsb.gov/carol-repgen/api/Aviation/ReportMain/GenerateNewestReport/99194/pdf","AccidentReport")</f>
        <v>AccidentReport</v>
      </c>
      <c r="C198" t="s">
        <v>633</v>
      </c>
      <c r="D198" t="s">
        <v>638</v>
      </c>
      <c r="E198" t="s">
        <v>251</v>
      </c>
      <c r="F198" t="s">
        <v>88</v>
      </c>
      <c r="G198">
        <v>45.819999000000003</v>
      </c>
      <c r="H198">
        <v>-119.28082999999999</v>
      </c>
      <c r="K198" t="s">
        <v>155</v>
      </c>
      <c r="L198">
        <v>1</v>
      </c>
      <c r="M198" t="s">
        <v>90</v>
      </c>
      <c r="N198" t="s">
        <v>91</v>
      </c>
      <c r="O198" t="s">
        <v>169</v>
      </c>
      <c r="S198" t="s">
        <v>515</v>
      </c>
      <c r="T198" t="s">
        <v>442</v>
      </c>
      <c r="U198" t="s">
        <v>119</v>
      </c>
    </row>
    <row r="199" spans="1:21" x14ac:dyDescent="0.3">
      <c r="A199" t="s">
        <v>639</v>
      </c>
      <c r="B199" s="6" t="str">
        <f>HYPERLINK("http://data.ntsb.gov/carol-repgen/api/Aviation/ReportMain/GenerateNewestReport/99202/pdf","AccidentReport")</f>
        <v>AccidentReport</v>
      </c>
      <c r="C199" t="s">
        <v>640</v>
      </c>
      <c r="D199" t="s">
        <v>410</v>
      </c>
      <c r="E199" t="s">
        <v>641</v>
      </c>
      <c r="F199" t="s">
        <v>88</v>
      </c>
      <c r="G199">
        <v>33.877777000000002</v>
      </c>
      <c r="H199">
        <v>-88.487503000000004</v>
      </c>
      <c r="I199">
        <v>0</v>
      </c>
      <c r="J199">
        <v>0</v>
      </c>
      <c r="K199" t="s">
        <v>155</v>
      </c>
      <c r="L199">
        <v>1</v>
      </c>
      <c r="M199" t="s">
        <v>90</v>
      </c>
      <c r="N199" t="s">
        <v>91</v>
      </c>
      <c r="O199" t="s">
        <v>92</v>
      </c>
      <c r="S199" t="s">
        <v>108</v>
      </c>
      <c r="T199" t="s">
        <v>411</v>
      </c>
      <c r="U199" t="s">
        <v>95</v>
      </c>
    </row>
    <row r="200" spans="1:21" x14ac:dyDescent="0.3">
      <c r="A200" t="s">
        <v>642</v>
      </c>
      <c r="B200" s="6" t="str">
        <f>HYPERLINK("http://data.ntsb.gov/carol-repgen/api/Aviation/ReportMain/GenerateNewestReport/99195/pdf","AccidentReport")</f>
        <v>AccidentReport</v>
      </c>
      <c r="C200" t="s">
        <v>640</v>
      </c>
      <c r="D200" t="s">
        <v>643</v>
      </c>
      <c r="E200" t="s">
        <v>106</v>
      </c>
      <c r="F200" t="s">
        <v>88</v>
      </c>
      <c r="G200">
        <v>33.317222000000001</v>
      </c>
      <c r="H200">
        <v>-117.043609</v>
      </c>
      <c r="J200">
        <v>1</v>
      </c>
      <c r="K200" t="s">
        <v>99</v>
      </c>
      <c r="L200">
        <v>1</v>
      </c>
      <c r="M200" t="s">
        <v>90</v>
      </c>
      <c r="N200" t="s">
        <v>100</v>
      </c>
      <c r="O200" t="s">
        <v>169</v>
      </c>
      <c r="S200" t="s">
        <v>515</v>
      </c>
      <c r="T200" t="s">
        <v>109</v>
      </c>
      <c r="U200" t="s">
        <v>248</v>
      </c>
    </row>
    <row r="201" spans="1:21" x14ac:dyDescent="0.3">
      <c r="A201" t="s">
        <v>644</v>
      </c>
      <c r="B201" s="6" t="str">
        <f>HYPERLINK("http://data.ntsb.gov/carol-repgen/api/Aviation/ReportMain/GenerateNewestReport/99225/pdf","AccidentReport")</f>
        <v>AccidentReport</v>
      </c>
      <c r="C201" t="s">
        <v>640</v>
      </c>
      <c r="D201" t="s">
        <v>645</v>
      </c>
      <c r="E201" t="s">
        <v>98</v>
      </c>
      <c r="F201" t="s">
        <v>88</v>
      </c>
      <c r="G201">
        <v>29.301110999999999</v>
      </c>
      <c r="H201">
        <v>-81.113890999999995</v>
      </c>
      <c r="K201" t="s">
        <v>89</v>
      </c>
      <c r="L201">
        <v>1</v>
      </c>
      <c r="M201" t="s">
        <v>90</v>
      </c>
      <c r="N201" t="s">
        <v>91</v>
      </c>
      <c r="O201" t="s">
        <v>92</v>
      </c>
      <c r="S201" t="s">
        <v>108</v>
      </c>
      <c r="T201" t="s">
        <v>94</v>
      </c>
      <c r="U201" t="s">
        <v>95</v>
      </c>
    </row>
    <row r="202" spans="1:21" x14ac:dyDescent="0.3">
      <c r="A202" t="s">
        <v>646</v>
      </c>
      <c r="B202" s="6" t="str">
        <f>HYPERLINK("http://data.ntsb.gov/carol-repgen/api/Aviation/ReportMain/GenerateNewestReport/99201/pdf","AccidentReport")</f>
        <v>AccidentReport</v>
      </c>
      <c r="C202" t="s">
        <v>647</v>
      </c>
      <c r="D202" t="s">
        <v>648</v>
      </c>
      <c r="E202" t="s">
        <v>98</v>
      </c>
      <c r="F202" t="s">
        <v>88</v>
      </c>
      <c r="G202">
        <v>29.718333999999999</v>
      </c>
      <c r="H202">
        <v>-81.673057</v>
      </c>
      <c r="J202">
        <v>2</v>
      </c>
      <c r="K202" t="s">
        <v>99</v>
      </c>
      <c r="L202">
        <v>1</v>
      </c>
      <c r="M202" t="s">
        <v>90</v>
      </c>
      <c r="N202" t="s">
        <v>91</v>
      </c>
      <c r="O202" t="s">
        <v>92</v>
      </c>
      <c r="S202" t="s">
        <v>108</v>
      </c>
      <c r="T202" t="s">
        <v>159</v>
      </c>
      <c r="U202" t="s">
        <v>186</v>
      </c>
    </row>
    <row r="203" spans="1:21" x14ac:dyDescent="0.3">
      <c r="A203" t="s">
        <v>649</v>
      </c>
      <c r="B203" s="6" t="str">
        <f>HYPERLINK("http://data.ntsb.gov/carol-repgen/api/Aviation/ReportMain/GenerateNewestReport/99237/pdf","AccidentReport")</f>
        <v>AccidentReport</v>
      </c>
      <c r="C203" t="s">
        <v>647</v>
      </c>
      <c r="D203" t="s">
        <v>650</v>
      </c>
      <c r="E203" t="s">
        <v>651</v>
      </c>
      <c r="F203" t="s">
        <v>88</v>
      </c>
      <c r="G203">
        <v>41.539442999999999</v>
      </c>
      <c r="H203">
        <v>-74.306944999999999</v>
      </c>
      <c r="K203" t="s">
        <v>155</v>
      </c>
      <c r="L203">
        <v>1</v>
      </c>
      <c r="M203" t="s">
        <v>90</v>
      </c>
      <c r="N203" t="s">
        <v>100</v>
      </c>
      <c r="O203" t="s">
        <v>92</v>
      </c>
      <c r="S203" t="s">
        <v>108</v>
      </c>
      <c r="T203" t="s">
        <v>159</v>
      </c>
      <c r="U203" t="s">
        <v>150</v>
      </c>
    </row>
    <row r="204" spans="1:21" x14ac:dyDescent="0.3">
      <c r="A204" t="s">
        <v>652</v>
      </c>
      <c r="B204" s="6" t="str">
        <f>HYPERLINK("http://data.ntsb.gov/carol-repgen/api/Aviation/ReportMain/GenerateNewestReport/99239/pdf","AccidentReport")</f>
        <v>AccidentReport</v>
      </c>
      <c r="C204" t="s">
        <v>647</v>
      </c>
      <c r="D204" t="s">
        <v>653</v>
      </c>
      <c r="E204" t="s">
        <v>98</v>
      </c>
      <c r="F204" t="s">
        <v>88</v>
      </c>
      <c r="G204">
        <v>26.586666000000001</v>
      </c>
      <c r="H204">
        <v>-81.863333999999995</v>
      </c>
      <c r="K204" t="s">
        <v>89</v>
      </c>
      <c r="L204">
        <v>1</v>
      </c>
      <c r="M204" t="s">
        <v>90</v>
      </c>
      <c r="N204" t="s">
        <v>91</v>
      </c>
      <c r="O204" t="s">
        <v>92</v>
      </c>
      <c r="S204" t="s">
        <v>108</v>
      </c>
      <c r="T204" t="s">
        <v>220</v>
      </c>
      <c r="U204" t="s">
        <v>221</v>
      </c>
    </row>
    <row r="205" spans="1:21" x14ac:dyDescent="0.3">
      <c r="A205" t="s">
        <v>654</v>
      </c>
      <c r="B205" s="6" t="str">
        <f>HYPERLINK("http://data.ntsb.gov/carol-repgen/api/Aviation/ReportMain/GenerateNewestReport/99226/pdf","AccidentReport")</f>
        <v>AccidentReport</v>
      </c>
      <c r="C205" t="s">
        <v>647</v>
      </c>
      <c r="D205" t="s">
        <v>655</v>
      </c>
      <c r="E205" t="s">
        <v>176</v>
      </c>
      <c r="F205" t="s">
        <v>88</v>
      </c>
      <c r="G205">
        <v>47.069999000000003</v>
      </c>
      <c r="H205">
        <v>-124.11972</v>
      </c>
      <c r="K205" t="s">
        <v>89</v>
      </c>
      <c r="L205">
        <v>1</v>
      </c>
      <c r="M205" t="s">
        <v>147</v>
      </c>
      <c r="N205" t="s">
        <v>91</v>
      </c>
      <c r="O205" t="s">
        <v>92</v>
      </c>
      <c r="S205" t="s">
        <v>108</v>
      </c>
      <c r="T205" t="s">
        <v>411</v>
      </c>
      <c r="U205" t="s">
        <v>95</v>
      </c>
    </row>
    <row r="206" spans="1:21" x14ac:dyDescent="0.3">
      <c r="A206" t="s">
        <v>656</v>
      </c>
      <c r="B206" s="6" t="str">
        <f>HYPERLINK("http://data.ntsb.gov/carol-repgen/api/Aviation/ReportMain/GenerateNewestReport/99193/pdf","AccidentReport")</f>
        <v>AccidentReport</v>
      </c>
      <c r="C206" t="s">
        <v>657</v>
      </c>
      <c r="D206" t="s">
        <v>658</v>
      </c>
      <c r="E206" t="s">
        <v>345</v>
      </c>
      <c r="F206" t="s">
        <v>88</v>
      </c>
      <c r="G206">
        <v>42.708888999999999</v>
      </c>
      <c r="H206">
        <v>-110.942222</v>
      </c>
      <c r="K206" t="s">
        <v>89</v>
      </c>
      <c r="L206">
        <v>1</v>
      </c>
      <c r="M206" t="s">
        <v>90</v>
      </c>
      <c r="N206" t="s">
        <v>91</v>
      </c>
      <c r="O206" t="s">
        <v>92</v>
      </c>
      <c r="S206" t="s">
        <v>108</v>
      </c>
      <c r="T206" t="s">
        <v>109</v>
      </c>
      <c r="U206" t="s">
        <v>95</v>
      </c>
    </row>
    <row r="207" spans="1:21" x14ac:dyDescent="0.3">
      <c r="A207" t="s">
        <v>659</v>
      </c>
      <c r="B207" s="6" t="str">
        <f>HYPERLINK("http://data.ntsb.gov/carol-repgen/api/Aviation/ReportMain/GenerateNewestReport/99209/pdf","AccidentReport")</f>
        <v>AccidentReport</v>
      </c>
      <c r="C207" t="s">
        <v>657</v>
      </c>
      <c r="D207" t="s">
        <v>660</v>
      </c>
      <c r="E207" t="s">
        <v>356</v>
      </c>
      <c r="F207" t="s">
        <v>88</v>
      </c>
      <c r="G207">
        <v>32.609164999999997</v>
      </c>
      <c r="H207">
        <v>-82.370001999999999</v>
      </c>
      <c r="K207" t="s">
        <v>89</v>
      </c>
      <c r="L207">
        <v>1</v>
      </c>
      <c r="M207" t="s">
        <v>90</v>
      </c>
      <c r="N207" t="s">
        <v>91</v>
      </c>
      <c r="O207" t="s">
        <v>92</v>
      </c>
      <c r="S207" t="s">
        <v>108</v>
      </c>
      <c r="T207" t="s">
        <v>94</v>
      </c>
      <c r="U207" t="s">
        <v>95</v>
      </c>
    </row>
    <row r="208" spans="1:21" x14ac:dyDescent="0.3">
      <c r="A208" t="s">
        <v>661</v>
      </c>
      <c r="B208" s="6" t="str">
        <f>HYPERLINK("http://data.ntsb.gov/carol-repgen/api/Aviation/ReportMain/GenerateNewestReport/99210/pdf","AccidentReport")</f>
        <v>AccidentReport</v>
      </c>
      <c r="C208" t="s">
        <v>657</v>
      </c>
      <c r="D208" t="s">
        <v>662</v>
      </c>
      <c r="E208" t="s">
        <v>154</v>
      </c>
      <c r="F208" t="s">
        <v>88</v>
      </c>
      <c r="G208">
        <v>32.215277999999998</v>
      </c>
      <c r="H208">
        <v>-98.177779999999998</v>
      </c>
      <c r="K208" t="s">
        <v>155</v>
      </c>
      <c r="L208">
        <v>1</v>
      </c>
      <c r="M208" t="s">
        <v>90</v>
      </c>
      <c r="N208" t="s">
        <v>91</v>
      </c>
      <c r="O208" t="s">
        <v>92</v>
      </c>
      <c r="S208" t="s">
        <v>108</v>
      </c>
      <c r="T208" t="s">
        <v>94</v>
      </c>
      <c r="U208" t="s">
        <v>95</v>
      </c>
    </row>
    <row r="209" spans="1:21" x14ac:dyDescent="0.3">
      <c r="A209" t="s">
        <v>663</v>
      </c>
      <c r="B209" s="6" t="str">
        <f>HYPERLINK("http://data.ntsb.gov/carol-repgen/api/Aviation/ReportMain/GenerateNewestReport/99197/pdf","AccidentReport")</f>
        <v>AccidentReport</v>
      </c>
      <c r="C209" t="s">
        <v>657</v>
      </c>
      <c r="D209" t="s">
        <v>664</v>
      </c>
      <c r="E209" t="s">
        <v>128</v>
      </c>
      <c r="F209" t="s">
        <v>88</v>
      </c>
      <c r="G209">
        <v>36.218333999999999</v>
      </c>
      <c r="H209">
        <v>-108.01638699999999</v>
      </c>
      <c r="I209">
        <v>1</v>
      </c>
      <c r="K209" t="s">
        <v>107</v>
      </c>
      <c r="L209">
        <v>1</v>
      </c>
      <c r="M209" t="s">
        <v>147</v>
      </c>
      <c r="N209" t="s">
        <v>91</v>
      </c>
      <c r="O209" t="s">
        <v>92</v>
      </c>
      <c r="S209" t="s">
        <v>108</v>
      </c>
      <c r="T209" t="s">
        <v>279</v>
      </c>
      <c r="U209" t="s">
        <v>186</v>
      </c>
    </row>
    <row r="210" spans="1:21" x14ac:dyDescent="0.3">
      <c r="A210" t="s">
        <v>665</v>
      </c>
      <c r="B210" s="6" t="str">
        <f>HYPERLINK("http://data.ntsb.gov/carol-repgen/api/Aviation/ReportMain/GenerateNewestReport/99196/pdf","AccidentReport")</f>
        <v>AccidentReport</v>
      </c>
      <c r="C210" t="s">
        <v>657</v>
      </c>
      <c r="D210" t="s">
        <v>666</v>
      </c>
      <c r="E210" t="s">
        <v>106</v>
      </c>
      <c r="F210" t="s">
        <v>88</v>
      </c>
      <c r="G210">
        <v>38.728054</v>
      </c>
      <c r="H210">
        <v>-120.745277</v>
      </c>
      <c r="K210" t="s">
        <v>89</v>
      </c>
      <c r="L210">
        <v>1</v>
      </c>
      <c r="M210" t="s">
        <v>90</v>
      </c>
      <c r="N210" t="s">
        <v>91</v>
      </c>
      <c r="O210" t="s">
        <v>92</v>
      </c>
      <c r="S210" t="s">
        <v>108</v>
      </c>
      <c r="T210" t="s">
        <v>159</v>
      </c>
      <c r="U210" t="s">
        <v>186</v>
      </c>
    </row>
    <row r="211" spans="1:21" x14ac:dyDescent="0.3">
      <c r="A211" t="s">
        <v>667</v>
      </c>
      <c r="B211" s="6" t="str">
        <f>HYPERLINK("http://data.ntsb.gov/carol-repgen/api/Aviation/ReportMain/GenerateNewestReport/99223/pdf","AccidentReport")</f>
        <v>AccidentReport</v>
      </c>
      <c r="C211" t="s">
        <v>668</v>
      </c>
      <c r="D211" t="s">
        <v>669</v>
      </c>
      <c r="E211" t="s">
        <v>106</v>
      </c>
      <c r="F211" t="s">
        <v>88</v>
      </c>
      <c r="G211">
        <v>38.375</v>
      </c>
      <c r="H211">
        <v>-122.336669</v>
      </c>
      <c r="J211">
        <v>1</v>
      </c>
      <c r="K211" t="s">
        <v>99</v>
      </c>
      <c r="L211">
        <v>1</v>
      </c>
      <c r="M211" t="s">
        <v>89</v>
      </c>
      <c r="N211" t="s">
        <v>670</v>
      </c>
      <c r="O211" t="s">
        <v>92</v>
      </c>
      <c r="S211" t="s">
        <v>173</v>
      </c>
      <c r="T211" t="s">
        <v>493</v>
      </c>
      <c r="U211" t="s">
        <v>186</v>
      </c>
    </row>
    <row r="212" spans="1:21" x14ac:dyDescent="0.3">
      <c r="A212" t="s">
        <v>671</v>
      </c>
      <c r="B212" s="6" t="str">
        <f>HYPERLINK("http://data.ntsb.gov/carol-repgen/api/Aviation/ReportMain/GenerateNewestReport/99219/pdf","AccidentReport")</f>
        <v>AccidentReport</v>
      </c>
      <c r="C212" t="s">
        <v>672</v>
      </c>
      <c r="D212" t="s">
        <v>673</v>
      </c>
      <c r="E212" t="s">
        <v>613</v>
      </c>
      <c r="F212" t="s">
        <v>88</v>
      </c>
      <c r="G212">
        <v>36.204444000000002</v>
      </c>
      <c r="H212">
        <v>-90.548889000000003</v>
      </c>
      <c r="K212" t="s">
        <v>89</v>
      </c>
      <c r="L212">
        <v>1</v>
      </c>
      <c r="M212" t="s">
        <v>90</v>
      </c>
      <c r="N212" t="s">
        <v>91</v>
      </c>
      <c r="O212" t="s">
        <v>92</v>
      </c>
      <c r="S212" t="s">
        <v>108</v>
      </c>
      <c r="T212" t="s">
        <v>332</v>
      </c>
      <c r="U212" t="s">
        <v>119</v>
      </c>
    </row>
    <row r="213" spans="1:21" x14ac:dyDescent="0.3">
      <c r="A213" t="s">
        <v>674</v>
      </c>
      <c r="B213" s="6" t="str">
        <f>HYPERLINK("http://data.ntsb.gov/carol-repgen/api/Aviation/ReportMain/GenerateNewestReport/99216/pdf","AccidentReport")</f>
        <v>AccidentReport</v>
      </c>
      <c r="C213" t="s">
        <v>672</v>
      </c>
      <c r="D213" t="s">
        <v>675</v>
      </c>
      <c r="E213" t="s">
        <v>402</v>
      </c>
      <c r="F213" t="s">
        <v>88</v>
      </c>
      <c r="G213">
        <v>34.671942999999999</v>
      </c>
      <c r="H213">
        <v>-82.883612999999997</v>
      </c>
      <c r="K213" t="s">
        <v>155</v>
      </c>
      <c r="L213">
        <v>1</v>
      </c>
      <c r="M213" t="s">
        <v>90</v>
      </c>
      <c r="N213" t="s">
        <v>91</v>
      </c>
      <c r="O213" t="s">
        <v>92</v>
      </c>
      <c r="S213" t="s">
        <v>93</v>
      </c>
      <c r="T213" t="s">
        <v>102</v>
      </c>
      <c r="U213" t="s">
        <v>95</v>
      </c>
    </row>
    <row r="214" spans="1:21" x14ac:dyDescent="0.3">
      <c r="A214" t="s">
        <v>676</v>
      </c>
      <c r="B214" s="6" t="str">
        <f>HYPERLINK("http://data.ntsb.gov/carol-repgen/api/Aviation/ReportMain/GenerateNewestReport/99217/pdf","AccidentReport")</f>
        <v>AccidentReport</v>
      </c>
      <c r="C214" t="s">
        <v>672</v>
      </c>
      <c r="D214" t="s">
        <v>677</v>
      </c>
      <c r="E214" t="s">
        <v>408</v>
      </c>
      <c r="F214" t="s">
        <v>88</v>
      </c>
      <c r="G214">
        <v>41.874442999999999</v>
      </c>
      <c r="H214">
        <v>-71.016386999999995</v>
      </c>
      <c r="K214" t="s">
        <v>89</v>
      </c>
      <c r="L214">
        <v>1</v>
      </c>
      <c r="M214" t="s">
        <v>90</v>
      </c>
      <c r="N214" t="s">
        <v>100</v>
      </c>
      <c r="O214" t="s">
        <v>92</v>
      </c>
      <c r="S214" t="s">
        <v>108</v>
      </c>
      <c r="U214" t="s">
        <v>103</v>
      </c>
    </row>
    <row r="215" spans="1:21" x14ac:dyDescent="0.3">
      <c r="A215" t="s">
        <v>678</v>
      </c>
      <c r="B215" s="6" t="str">
        <f>HYPERLINK("http://data.ntsb.gov/carol-repgen/api/Aviation/ReportMain/GenerateNewestReport/99348/pdf","AccidentReport")</f>
        <v>AccidentReport</v>
      </c>
      <c r="C215" t="s">
        <v>679</v>
      </c>
      <c r="D215" t="s">
        <v>680</v>
      </c>
      <c r="E215" t="s">
        <v>228</v>
      </c>
      <c r="F215" t="s">
        <v>88</v>
      </c>
      <c r="G215">
        <v>30.346388999999999</v>
      </c>
      <c r="H215">
        <v>-91.029441000000006</v>
      </c>
      <c r="J215">
        <v>1</v>
      </c>
      <c r="K215" t="s">
        <v>99</v>
      </c>
      <c r="L215">
        <v>1</v>
      </c>
      <c r="M215" t="s">
        <v>155</v>
      </c>
      <c r="N215" t="s">
        <v>91</v>
      </c>
      <c r="O215" t="s">
        <v>92</v>
      </c>
      <c r="S215" t="s">
        <v>108</v>
      </c>
      <c r="T215" t="s">
        <v>159</v>
      </c>
      <c r="U215" t="s">
        <v>186</v>
      </c>
    </row>
    <row r="216" spans="1:21" x14ac:dyDescent="0.3">
      <c r="A216" t="s">
        <v>681</v>
      </c>
      <c r="B216" s="6" t="str">
        <f>HYPERLINK("http://data.ntsb.gov/carol-repgen/api/Aviation/ReportMain/GenerateNewestReport/99220/pdf","AccidentReport")</f>
        <v>AccidentReport</v>
      </c>
      <c r="C216" t="s">
        <v>679</v>
      </c>
      <c r="D216" t="s">
        <v>682</v>
      </c>
      <c r="E216" t="s">
        <v>98</v>
      </c>
      <c r="F216" t="s">
        <v>88</v>
      </c>
      <c r="G216">
        <v>27.987499</v>
      </c>
      <c r="H216">
        <v>-82.018889999999999</v>
      </c>
      <c r="K216" t="s">
        <v>89</v>
      </c>
      <c r="L216">
        <v>1</v>
      </c>
      <c r="M216" t="s">
        <v>90</v>
      </c>
      <c r="N216" t="s">
        <v>91</v>
      </c>
      <c r="O216" t="s">
        <v>92</v>
      </c>
      <c r="S216" t="s">
        <v>108</v>
      </c>
      <c r="T216" t="s">
        <v>220</v>
      </c>
      <c r="U216" t="s">
        <v>221</v>
      </c>
    </row>
    <row r="217" spans="1:21" x14ac:dyDescent="0.3">
      <c r="A217" t="s">
        <v>683</v>
      </c>
      <c r="B217" s="6" t="str">
        <f>HYPERLINK("http://data.ntsb.gov/carol-repgen/api/Aviation/ReportMain/GenerateNewestReport/99224/pdf","AccidentReport")</f>
        <v>AccidentReport</v>
      </c>
      <c r="C217" t="s">
        <v>684</v>
      </c>
      <c r="D217" t="s">
        <v>294</v>
      </c>
      <c r="E217" t="s">
        <v>98</v>
      </c>
      <c r="F217" t="s">
        <v>88</v>
      </c>
      <c r="G217">
        <v>27.943332000000002</v>
      </c>
      <c r="H217">
        <v>-82.401947000000007</v>
      </c>
      <c r="I217">
        <v>1</v>
      </c>
      <c r="J217">
        <v>1</v>
      </c>
      <c r="K217" t="s">
        <v>107</v>
      </c>
      <c r="L217">
        <v>1</v>
      </c>
      <c r="M217" t="s">
        <v>90</v>
      </c>
      <c r="N217" t="s">
        <v>100</v>
      </c>
      <c r="O217" t="s">
        <v>92</v>
      </c>
      <c r="S217" t="s">
        <v>108</v>
      </c>
      <c r="T217" t="s">
        <v>159</v>
      </c>
      <c r="U217" t="s">
        <v>186</v>
      </c>
    </row>
    <row r="218" spans="1:21" x14ac:dyDescent="0.3">
      <c r="A218" t="s">
        <v>685</v>
      </c>
      <c r="B218" s="6" t="str">
        <f>HYPERLINK("http://data.ntsb.gov/carol-repgen/api/Aviation/ReportMain/GenerateNewestReport/99228/pdf","AccidentReport")</f>
        <v>AccidentReport</v>
      </c>
      <c r="C218" t="s">
        <v>684</v>
      </c>
      <c r="D218" t="s">
        <v>686</v>
      </c>
      <c r="E218" t="s">
        <v>402</v>
      </c>
      <c r="F218" t="s">
        <v>88</v>
      </c>
      <c r="G218">
        <v>33.768889999999999</v>
      </c>
      <c r="H218">
        <v>-81.986662999999993</v>
      </c>
      <c r="K218" t="s">
        <v>89</v>
      </c>
      <c r="L218">
        <v>1</v>
      </c>
      <c r="M218" t="s">
        <v>90</v>
      </c>
      <c r="N218" t="s">
        <v>91</v>
      </c>
      <c r="O218" t="s">
        <v>92</v>
      </c>
      <c r="S218" t="s">
        <v>108</v>
      </c>
      <c r="T218" t="s">
        <v>159</v>
      </c>
      <c r="U218" t="s">
        <v>186</v>
      </c>
    </row>
    <row r="219" spans="1:21" x14ac:dyDescent="0.3">
      <c r="A219" t="s">
        <v>687</v>
      </c>
      <c r="B219" s="6" t="str">
        <f>HYPERLINK("http://data.ntsb.gov/carol-repgen/api/Aviation/ReportMain/GenerateNewestReport/99227/pdf","AccidentReport")</f>
        <v>AccidentReport</v>
      </c>
      <c r="C219" t="s">
        <v>684</v>
      </c>
      <c r="D219" t="s">
        <v>688</v>
      </c>
      <c r="E219" t="s">
        <v>192</v>
      </c>
      <c r="F219" t="s">
        <v>88</v>
      </c>
      <c r="G219">
        <v>37.016666000000001</v>
      </c>
      <c r="H219">
        <v>-110.200553</v>
      </c>
      <c r="K219" t="s">
        <v>89</v>
      </c>
      <c r="L219">
        <v>1</v>
      </c>
      <c r="M219" t="s">
        <v>90</v>
      </c>
      <c r="N219" t="s">
        <v>91</v>
      </c>
      <c r="O219" t="s">
        <v>92</v>
      </c>
      <c r="S219" t="s">
        <v>108</v>
      </c>
      <c r="T219" t="s">
        <v>94</v>
      </c>
      <c r="U219" t="s">
        <v>95</v>
      </c>
    </row>
    <row r="220" spans="1:21" x14ac:dyDescent="0.3">
      <c r="A220" t="s">
        <v>689</v>
      </c>
      <c r="B220" s="6" t="str">
        <f>HYPERLINK("http://data.ntsb.gov/carol-repgen/api/Aviation/ReportMain/GenerateNewestReport/99230/pdf","AccidentReport")</f>
        <v>AccidentReport</v>
      </c>
      <c r="C220" t="s">
        <v>684</v>
      </c>
      <c r="D220" t="s">
        <v>270</v>
      </c>
      <c r="E220" t="s">
        <v>154</v>
      </c>
      <c r="F220" t="s">
        <v>88</v>
      </c>
      <c r="G220">
        <v>32.931109999999997</v>
      </c>
      <c r="H220">
        <v>-97.411665999999997</v>
      </c>
      <c r="K220" t="s">
        <v>89</v>
      </c>
      <c r="L220">
        <v>1</v>
      </c>
      <c r="M220" t="s">
        <v>90</v>
      </c>
      <c r="N220" t="s">
        <v>91</v>
      </c>
      <c r="O220" t="s">
        <v>92</v>
      </c>
      <c r="S220" t="s">
        <v>108</v>
      </c>
      <c r="T220" t="s">
        <v>94</v>
      </c>
      <c r="U220" t="s">
        <v>95</v>
      </c>
    </row>
    <row r="221" spans="1:21" x14ac:dyDescent="0.3">
      <c r="A221" t="s">
        <v>690</v>
      </c>
      <c r="B221" s="6" t="str">
        <f>HYPERLINK("http://data.ntsb.gov/carol-repgen/api/Aviation/ReportMain/GenerateNewestReport/99229/pdf","AccidentReport")</f>
        <v>AccidentReport</v>
      </c>
      <c r="C221" t="s">
        <v>691</v>
      </c>
      <c r="D221" t="s">
        <v>692</v>
      </c>
      <c r="E221" t="s">
        <v>265</v>
      </c>
      <c r="F221" t="s">
        <v>88</v>
      </c>
      <c r="G221">
        <v>36.819721000000001</v>
      </c>
      <c r="H221">
        <v>-78.783057999999997</v>
      </c>
      <c r="I221">
        <v>0</v>
      </c>
      <c r="J221">
        <v>1</v>
      </c>
      <c r="K221" t="s">
        <v>99</v>
      </c>
      <c r="L221">
        <v>1</v>
      </c>
      <c r="M221" t="s">
        <v>147</v>
      </c>
      <c r="N221" t="s">
        <v>100</v>
      </c>
      <c r="O221" t="s">
        <v>92</v>
      </c>
      <c r="S221" t="s">
        <v>108</v>
      </c>
      <c r="T221" t="s">
        <v>411</v>
      </c>
      <c r="U221" t="s">
        <v>150</v>
      </c>
    </row>
    <row r="222" spans="1:21" x14ac:dyDescent="0.3">
      <c r="A222" t="s">
        <v>693</v>
      </c>
      <c r="B222" s="6" t="str">
        <f>HYPERLINK("http://data.ntsb.gov/carol-repgen/api/Aviation/ReportMain/GenerateNewestReport/99245/pdf","AccidentReport")</f>
        <v>AccidentReport</v>
      </c>
      <c r="C222" t="s">
        <v>694</v>
      </c>
      <c r="D222" t="s">
        <v>695</v>
      </c>
      <c r="E222" t="s">
        <v>117</v>
      </c>
      <c r="F222" t="s">
        <v>88</v>
      </c>
      <c r="G222">
        <v>40.118887999999998</v>
      </c>
      <c r="H222">
        <v>-76.299446000000003</v>
      </c>
      <c r="I222">
        <v>0</v>
      </c>
      <c r="J222">
        <v>0</v>
      </c>
      <c r="K222" t="s">
        <v>155</v>
      </c>
      <c r="L222">
        <v>1</v>
      </c>
      <c r="M222" t="s">
        <v>90</v>
      </c>
      <c r="N222" t="s">
        <v>91</v>
      </c>
      <c r="O222" t="s">
        <v>92</v>
      </c>
      <c r="S222" t="s">
        <v>93</v>
      </c>
      <c r="T222" t="s">
        <v>94</v>
      </c>
      <c r="U222" t="s">
        <v>248</v>
      </c>
    </row>
    <row r="223" spans="1:21" x14ac:dyDescent="0.3">
      <c r="A223" t="s">
        <v>696</v>
      </c>
      <c r="B223" s="6" t="str">
        <f>HYPERLINK("http://data.ntsb.gov/carol-repgen/api/Aviation/ReportMain/GenerateNewestReport/99233/pdf","AccidentReport")</f>
        <v>AccidentReport</v>
      </c>
      <c r="C223" t="s">
        <v>694</v>
      </c>
      <c r="D223" t="s">
        <v>697</v>
      </c>
      <c r="E223" t="s">
        <v>128</v>
      </c>
      <c r="F223" t="s">
        <v>88</v>
      </c>
      <c r="G223">
        <v>35.621946000000001</v>
      </c>
      <c r="H223">
        <v>-106.10339</v>
      </c>
      <c r="I223">
        <v>2</v>
      </c>
      <c r="K223" t="s">
        <v>107</v>
      </c>
      <c r="L223">
        <v>1</v>
      </c>
      <c r="M223" t="s">
        <v>147</v>
      </c>
      <c r="N223" t="s">
        <v>91</v>
      </c>
      <c r="O223" t="s">
        <v>92</v>
      </c>
      <c r="S223" t="s">
        <v>93</v>
      </c>
      <c r="T223" t="s">
        <v>102</v>
      </c>
      <c r="U223" t="s">
        <v>150</v>
      </c>
    </row>
    <row r="224" spans="1:21" x14ac:dyDescent="0.3">
      <c r="A224" t="s">
        <v>698</v>
      </c>
      <c r="B224" s="6" t="str">
        <f>HYPERLINK("http://data.ntsb.gov/carol-repgen/api/Aviation/ReportMain/GenerateNewestReport/99235/pdf","AccidentReport")</f>
        <v>AccidentReport</v>
      </c>
      <c r="C224" t="s">
        <v>699</v>
      </c>
      <c r="D224" t="s">
        <v>700</v>
      </c>
      <c r="E224" t="s">
        <v>154</v>
      </c>
      <c r="F224" t="s">
        <v>88</v>
      </c>
      <c r="G224">
        <v>26.292498999999999</v>
      </c>
      <c r="H224">
        <v>-97.764999000000003</v>
      </c>
      <c r="I224">
        <v>1</v>
      </c>
      <c r="K224" t="s">
        <v>107</v>
      </c>
      <c r="L224">
        <v>1</v>
      </c>
      <c r="M224" t="s">
        <v>147</v>
      </c>
      <c r="N224" t="s">
        <v>91</v>
      </c>
      <c r="O224" t="s">
        <v>169</v>
      </c>
      <c r="S224" t="s">
        <v>515</v>
      </c>
      <c r="T224" t="s">
        <v>113</v>
      </c>
      <c r="U224" t="s">
        <v>103</v>
      </c>
    </row>
    <row r="225" spans="1:21" x14ac:dyDescent="0.3">
      <c r="A225" t="s">
        <v>701</v>
      </c>
      <c r="B225" s="6" t="str">
        <f>HYPERLINK("http://data.ntsb.gov/carol-repgen/api/Aviation/ReportMain/GenerateNewestReport/99244/pdf","AccidentReport")</f>
        <v>AccidentReport</v>
      </c>
      <c r="C225" t="s">
        <v>702</v>
      </c>
      <c r="D225" t="s">
        <v>703</v>
      </c>
      <c r="E225" t="s">
        <v>146</v>
      </c>
      <c r="F225" t="s">
        <v>88</v>
      </c>
      <c r="G225">
        <v>36.375</v>
      </c>
      <c r="H225">
        <v>-86.408332000000001</v>
      </c>
      <c r="K225" t="s">
        <v>155</v>
      </c>
      <c r="L225">
        <v>1</v>
      </c>
      <c r="M225" t="s">
        <v>90</v>
      </c>
      <c r="N225" t="s">
        <v>100</v>
      </c>
      <c r="O225" t="s">
        <v>92</v>
      </c>
      <c r="S225" t="s">
        <v>108</v>
      </c>
      <c r="T225" t="s">
        <v>94</v>
      </c>
      <c r="U225" t="s">
        <v>103</v>
      </c>
    </row>
    <row r="226" spans="1:21" x14ac:dyDescent="0.3">
      <c r="A226" t="s">
        <v>704</v>
      </c>
      <c r="B226" s="6" t="str">
        <f>HYPERLINK("http://data.ntsb.gov/carol-repgen/api/Aviation/ReportMain/GenerateNewestReport/99238/pdf","AccidentReport")</f>
        <v>AccidentReport</v>
      </c>
      <c r="C226" t="s">
        <v>702</v>
      </c>
      <c r="D226" t="s">
        <v>705</v>
      </c>
      <c r="E226" t="s">
        <v>251</v>
      </c>
      <c r="F226" t="s">
        <v>88</v>
      </c>
      <c r="G226">
        <v>45.588611</v>
      </c>
      <c r="H226">
        <v>-122.596946</v>
      </c>
      <c r="K226" t="s">
        <v>155</v>
      </c>
      <c r="L226">
        <v>1</v>
      </c>
      <c r="M226" t="s">
        <v>90</v>
      </c>
      <c r="N226" t="s">
        <v>91</v>
      </c>
      <c r="O226" t="s">
        <v>92</v>
      </c>
      <c r="S226" t="s">
        <v>93</v>
      </c>
      <c r="T226" t="s">
        <v>94</v>
      </c>
      <c r="U226" t="s">
        <v>95</v>
      </c>
    </row>
    <row r="227" spans="1:21" x14ac:dyDescent="0.3">
      <c r="A227" t="s">
        <v>706</v>
      </c>
      <c r="B227" s="6" t="str">
        <f>HYPERLINK("http://data.ntsb.gov/carol-repgen/api/Aviation/ReportMain/GenerateNewestReport/99246/pdf","AccidentReport")</f>
        <v>AccidentReport</v>
      </c>
      <c r="C227" t="s">
        <v>707</v>
      </c>
      <c r="D227" t="s">
        <v>708</v>
      </c>
      <c r="E227" t="s">
        <v>709</v>
      </c>
      <c r="F227" t="s">
        <v>88</v>
      </c>
      <c r="G227">
        <v>41.526943000000003</v>
      </c>
      <c r="H227">
        <v>-72.831389999999999</v>
      </c>
      <c r="I227">
        <v>0</v>
      </c>
      <c r="J227">
        <v>2</v>
      </c>
      <c r="K227" t="s">
        <v>99</v>
      </c>
      <c r="L227">
        <v>1</v>
      </c>
      <c r="M227" t="s">
        <v>90</v>
      </c>
      <c r="N227" t="s">
        <v>91</v>
      </c>
      <c r="O227" t="s">
        <v>92</v>
      </c>
      <c r="S227" t="s">
        <v>108</v>
      </c>
      <c r="T227" t="s">
        <v>159</v>
      </c>
      <c r="U227" t="s">
        <v>119</v>
      </c>
    </row>
    <row r="228" spans="1:21" x14ac:dyDescent="0.3">
      <c r="A228" t="s">
        <v>710</v>
      </c>
      <c r="B228" s="6" t="str">
        <f>HYPERLINK("http://data.ntsb.gov/carol-repgen/api/Aviation/ReportMain/GenerateNewestReport/99259/pdf","AccidentReport")</f>
        <v>AccidentReport</v>
      </c>
      <c r="C228" t="s">
        <v>707</v>
      </c>
      <c r="D228" t="s">
        <v>711</v>
      </c>
      <c r="E228" t="s">
        <v>651</v>
      </c>
      <c r="F228" t="s">
        <v>88</v>
      </c>
      <c r="G228">
        <v>43.329166000000001</v>
      </c>
      <c r="H228">
        <v>-76.413887000000003</v>
      </c>
      <c r="I228">
        <v>0</v>
      </c>
      <c r="J228">
        <v>1</v>
      </c>
      <c r="K228" t="s">
        <v>99</v>
      </c>
      <c r="L228">
        <v>1</v>
      </c>
      <c r="M228" t="s">
        <v>90</v>
      </c>
      <c r="N228" t="s">
        <v>91</v>
      </c>
      <c r="O228" t="s">
        <v>92</v>
      </c>
      <c r="S228" t="s">
        <v>108</v>
      </c>
      <c r="T228" t="s">
        <v>159</v>
      </c>
      <c r="U228" t="s">
        <v>119</v>
      </c>
    </row>
    <row r="229" spans="1:21" x14ac:dyDescent="0.3">
      <c r="A229" t="s">
        <v>712</v>
      </c>
      <c r="B229" s="6" t="str">
        <f>HYPERLINK("http://data.ntsb.gov/carol-repgen/api/Aviation/ReportMain/GenerateNewestReport/99248/pdf","AccidentReport")</f>
        <v>AccidentReport</v>
      </c>
      <c r="C229" t="s">
        <v>707</v>
      </c>
      <c r="D229" t="s">
        <v>713</v>
      </c>
      <c r="E229" t="s">
        <v>106</v>
      </c>
      <c r="F229" t="s">
        <v>88</v>
      </c>
      <c r="G229">
        <v>33.871943999999999</v>
      </c>
      <c r="H229">
        <v>-117.979721</v>
      </c>
      <c r="K229" t="s">
        <v>89</v>
      </c>
      <c r="L229">
        <v>1</v>
      </c>
      <c r="M229" t="s">
        <v>90</v>
      </c>
      <c r="N229" t="s">
        <v>91</v>
      </c>
      <c r="O229" t="s">
        <v>92</v>
      </c>
      <c r="S229" t="s">
        <v>93</v>
      </c>
      <c r="T229" t="s">
        <v>94</v>
      </c>
      <c r="U229" t="s">
        <v>95</v>
      </c>
    </row>
    <row r="230" spans="1:21" x14ac:dyDescent="0.3">
      <c r="A230" t="s">
        <v>714</v>
      </c>
      <c r="B230" s="6" t="str">
        <f>HYPERLINK("http://data.ntsb.gov/carol-repgen/api/Aviation/ReportMain/GenerateNewestReport/99262/pdf","AccidentReport")</f>
        <v>AccidentReport</v>
      </c>
      <c r="C230" t="s">
        <v>707</v>
      </c>
      <c r="D230" t="s">
        <v>474</v>
      </c>
      <c r="E230" t="s">
        <v>142</v>
      </c>
      <c r="F230" t="s">
        <v>88</v>
      </c>
      <c r="G230">
        <v>40.224722999999997</v>
      </c>
      <c r="H230">
        <v>-83.350279999999998</v>
      </c>
      <c r="K230" t="s">
        <v>89</v>
      </c>
      <c r="L230">
        <v>1</v>
      </c>
      <c r="M230" t="s">
        <v>90</v>
      </c>
      <c r="N230" t="s">
        <v>91</v>
      </c>
      <c r="O230" t="s">
        <v>92</v>
      </c>
      <c r="S230" t="s">
        <v>108</v>
      </c>
      <c r="T230" t="s">
        <v>94</v>
      </c>
      <c r="U230" t="s">
        <v>95</v>
      </c>
    </row>
    <row r="231" spans="1:21" x14ac:dyDescent="0.3">
      <c r="A231" t="s">
        <v>715</v>
      </c>
      <c r="B231" s="6" t="str">
        <f>HYPERLINK("http://data.ntsb.gov/carol-repgen/api/Aviation/ReportMain/GenerateNewestReport/99275/pdf","AccidentReport")</f>
        <v>AccidentReport</v>
      </c>
      <c r="C231" t="s">
        <v>716</v>
      </c>
      <c r="D231" t="s">
        <v>717</v>
      </c>
      <c r="E231" t="s">
        <v>98</v>
      </c>
      <c r="F231" t="s">
        <v>88</v>
      </c>
      <c r="G231">
        <v>24.727222000000001</v>
      </c>
      <c r="H231">
        <v>-81.389999000000003</v>
      </c>
      <c r="K231" t="s">
        <v>89</v>
      </c>
      <c r="L231">
        <v>1</v>
      </c>
      <c r="M231" t="s">
        <v>90</v>
      </c>
      <c r="N231" t="s">
        <v>100</v>
      </c>
      <c r="O231" t="s">
        <v>295</v>
      </c>
      <c r="S231" t="s">
        <v>531</v>
      </c>
      <c r="T231" t="s">
        <v>94</v>
      </c>
      <c r="U231" t="s">
        <v>222</v>
      </c>
    </row>
    <row r="232" spans="1:21" x14ac:dyDescent="0.3">
      <c r="A232" t="s">
        <v>718</v>
      </c>
      <c r="B232" s="6" t="str">
        <f>HYPERLINK("http://data.ntsb.gov/carol-repgen/api/Aviation/ReportMain/GenerateNewestReport/99252/pdf","AccidentReport")</f>
        <v>AccidentReport</v>
      </c>
      <c r="C232" t="s">
        <v>719</v>
      </c>
      <c r="D232" t="s">
        <v>720</v>
      </c>
      <c r="E232" t="s">
        <v>641</v>
      </c>
      <c r="F232" t="s">
        <v>88</v>
      </c>
      <c r="G232">
        <v>34.382499000000003</v>
      </c>
      <c r="H232">
        <v>-88.956108</v>
      </c>
      <c r="I232">
        <v>3</v>
      </c>
      <c r="K232" t="s">
        <v>107</v>
      </c>
      <c r="L232">
        <v>1</v>
      </c>
      <c r="M232" t="s">
        <v>147</v>
      </c>
      <c r="N232" t="s">
        <v>91</v>
      </c>
      <c r="O232" t="s">
        <v>92</v>
      </c>
      <c r="S232" t="s">
        <v>108</v>
      </c>
      <c r="T232" t="s">
        <v>139</v>
      </c>
      <c r="U232" t="s">
        <v>186</v>
      </c>
    </row>
    <row r="233" spans="1:21" x14ac:dyDescent="0.3">
      <c r="A233" t="s">
        <v>721</v>
      </c>
      <c r="B233" s="6" t="str">
        <f>HYPERLINK("http://data.ntsb.gov/carol-repgen/api/Aviation/ReportMain/GenerateNewestReport/99254/pdf","AccidentReport")</f>
        <v>AccidentReport</v>
      </c>
      <c r="C233" t="s">
        <v>719</v>
      </c>
      <c r="D233" t="s">
        <v>722</v>
      </c>
      <c r="E233" t="s">
        <v>641</v>
      </c>
      <c r="F233" t="s">
        <v>88</v>
      </c>
      <c r="G233">
        <v>32.340153999999998</v>
      </c>
      <c r="H233">
        <v>-89.364465999999993</v>
      </c>
      <c r="I233">
        <v>1</v>
      </c>
      <c r="K233" t="s">
        <v>107</v>
      </c>
      <c r="L233">
        <v>1</v>
      </c>
      <c r="M233" t="s">
        <v>147</v>
      </c>
      <c r="N233" t="s">
        <v>91</v>
      </c>
      <c r="O233" t="s">
        <v>92</v>
      </c>
      <c r="S233" t="s">
        <v>108</v>
      </c>
      <c r="T233" t="s">
        <v>102</v>
      </c>
      <c r="U233" t="s">
        <v>186</v>
      </c>
    </row>
    <row r="234" spans="1:21" x14ac:dyDescent="0.3">
      <c r="A234" t="s">
        <v>723</v>
      </c>
      <c r="B234" s="6" t="str">
        <f>HYPERLINK("http://data.ntsb.gov/carol-repgen/api/Aviation/ReportMain/GenerateNewestReport/99277/pdf","AccidentReport")</f>
        <v>AccidentReport</v>
      </c>
      <c r="C234" t="s">
        <v>719</v>
      </c>
      <c r="D234" t="s">
        <v>724</v>
      </c>
      <c r="E234" t="s">
        <v>98</v>
      </c>
      <c r="F234" t="s">
        <v>88</v>
      </c>
      <c r="G234">
        <v>27.450555000000001</v>
      </c>
      <c r="H234">
        <v>-82.686110999999997</v>
      </c>
      <c r="K234" t="s">
        <v>89</v>
      </c>
      <c r="L234">
        <v>1</v>
      </c>
      <c r="M234" t="s">
        <v>90</v>
      </c>
      <c r="N234" t="s">
        <v>100</v>
      </c>
      <c r="O234" t="s">
        <v>92</v>
      </c>
      <c r="S234" t="s">
        <v>93</v>
      </c>
      <c r="T234" t="s">
        <v>102</v>
      </c>
      <c r="U234" t="s">
        <v>103</v>
      </c>
    </row>
    <row r="235" spans="1:21" x14ac:dyDescent="0.3">
      <c r="A235" t="s">
        <v>725</v>
      </c>
      <c r="B235" s="6" t="str">
        <f>HYPERLINK("http://data.ntsb.gov/carol-repgen/api/Aviation/ReportMain/GenerateNewestReport/99263/pdf","AccidentReport")</f>
        <v>AccidentReport</v>
      </c>
      <c r="C235" t="s">
        <v>719</v>
      </c>
      <c r="D235" t="s">
        <v>726</v>
      </c>
      <c r="E235" t="s">
        <v>233</v>
      </c>
      <c r="F235" t="s">
        <v>88</v>
      </c>
      <c r="G235">
        <v>60.299999</v>
      </c>
      <c r="H235">
        <v>-149.14999299999999</v>
      </c>
      <c r="K235" t="s">
        <v>89</v>
      </c>
      <c r="L235">
        <v>1</v>
      </c>
      <c r="M235" t="s">
        <v>90</v>
      </c>
      <c r="N235" t="s">
        <v>91</v>
      </c>
      <c r="O235" t="s">
        <v>92</v>
      </c>
      <c r="S235" t="s">
        <v>108</v>
      </c>
      <c r="T235" t="s">
        <v>94</v>
      </c>
      <c r="U235" t="s">
        <v>95</v>
      </c>
    </row>
    <row r="236" spans="1:21" x14ac:dyDescent="0.3">
      <c r="A236" t="s">
        <v>727</v>
      </c>
      <c r="B236" s="6" t="str">
        <f>HYPERLINK("http://data.ntsb.gov/carol-repgen/api/Aviation/ReportMain/GenerateNewestReport/99269/pdf","AccidentReport")</f>
        <v>AccidentReport</v>
      </c>
      <c r="C236" t="s">
        <v>719</v>
      </c>
      <c r="D236" t="s">
        <v>215</v>
      </c>
      <c r="E236" t="s">
        <v>106</v>
      </c>
      <c r="F236" t="s">
        <v>88</v>
      </c>
      <c r="G236">
        <v>33.974722999999997</v>
      </c>
      <c r="H236">
        <v>-117.63639000000001</v>
      </c>
      <c r="K236" t="s">
        <v>89</v>
      </c>
      <c r="L236">
        <v>1</v>
      </c>
      <c r="M236" t="s">
        <v>90</v>
      </c>
      <c r="N236" t="s">
        <v>91</v>
      </c>
      <c r="O236" t="s">
        <v>92</v>
      </c>
      <c r="S236" t="s">
        <v>108</v>
      </c>
      <c r="T236" t="s">
        <v>220</v>
      </c>
      <c r="U236" t="s">
        <v>221</v>
      </c>
    </row>
    <row r="237" spans="1:21" x14ac:dyDescent="0.3">
      <c r="A237" t="s">
        <v>727</v>
      </c>
      <c r="B237" s="6" t="str">
        <f>HYPERLINK("http://data.ntsb.gov/carol-repgen/api/Aviation/ReportMain/GenerateNewestReport/99269/pdf","AccidentReport")</f>
        <v>AccidentReport</v>
      </c>
      <c r="C237" t="s">
        <v>719</v>
      </c>
      <c r="D237" t="s">
        <v>215</v>
      </c>
      <c r="E237" t="s">
        <v>106</v>
      </c>
      <c r="F237" t="s">
        <v>88</v>
      </c>
      <c r="G237">
        <v>33.974722999999997</v>
      </c>
      <c r="H237">
        <v>-117.63639000000001</v>
      </c>
      <c r="K237" t="s">
        <v>89</v>
      </c>
      <c r="L237">
        <v>2</v>
      </c>
      <c r="M237" t="s">
        <v>155</v>
      </c>
      <c r="N237" t="s">
        <v>91</v>
      </c>
      <c r="O237" t="s">
        <v>92</v>
      </c>
      <c r="S237" t="s">
        <v>108</v>
      </c>
      <c r="T237" t="s">
        <v>220</v>
      </c>
      <c r="U237" t="s">
        <v>221</v>
      </c>
    </row>
    <row r="238" spans="1:21" x14ac:dyDescent="0.3">
      <c r="A238" t="s">
        <v>728</v>
      </c>
      <c r="B238" s="6" t="str">
        <f>HYPERLINK("http://data.ntsb.gov/carol-repgen/api/Aviation/ReportMain/GenerateNewestReport/99253/pdf","AccidentReport")</f>
        <v>AccidentReport</v>
      </c>
      <c r="C238" t="s">
        <v>719</v>
      </c>
      <c r="D238" t="s">
        <v>729</v>
      </c>
      <c r="E238" t="s">
        <v>106</v>
      </c>
      <c r="F238" t="s">
        <v>88</v>
      </c>
      <c r="G238">
        <v>38.553333000000002</v>
      </c>
      <c r="H238">
        <v>-121.866668</v>
      </c>
      <c r="J238">
        <v>1</v>
      </c>
      <c r="K238" t="s">
        <v>99</v>
      </c>
      <c r="L238">
        <v>1</v>
      </c>
      <c r="M238" t="s">
        <v>90</v>
      </c>
      <c r="N238" t="s">
        <v>91</v>
      </c>
      <c r="O238" t="s">
        <v>92</v>
      </c>
      <c r="S238" t="s">
        <v>108</v>
      </c>
      <c r="T238" t="s">
        <v>442</v>
      </c>
      <c r="U238" t="s">
        <v>186</v>
      </c>
    </row>
    <row r="239" spans="1:21" x14ac:dyDescent="0.3">
      <c r="A239" t="s">
        <v>730</v>
      </c>
      <c r="B239" s="6" t="str">
        <f>HYPERLINK("http://data.ntsb.gov/carol-repgen/api/Aviation/ReportMain/GenerateNewestReport/99258/pdf","AccidentReport")</f>
        <v>AccidentReport</v>
      </c>
      <c r="C239" t="s">
        <v>731</v>
      </c>
      <c r="D239" t="s">
        <v>651</v>
      </c>
      <c r="E239" t="s">
        <v>651</v>
      </c>
      <c r="F239" t="s">
        <v>88</v>
      </c>
      <c r="G239">
        <v>40.676943999999999</v>
      </c>
      <c r="H239">
        <v>-73.714163999999997</v>
      </c>
      <c r="I239">
        <v>0</v>
      </c>
      <c r="J239">
        <v>0</v>
      </c>
      <c r="K239" t="s">
        <v>155</v>
      </c>
      <c r="L239">
        <v>1</v>
      </c>
      <c r="M239" t="s">
        <v>90</v>
      </c>
      <c r="N239" t="s">
        <v>91</v>
      </c>
      <c r="O239" t="s">
        <v>92</v>
      </c>
      <c r="S239" t="s">
        <v>108</v>
      </c>
      <c r="T239" t="s">
        <v>118</v>
      </c>
      <c r="U239" t="s">
        <v>119</v>
      </c>
    </row>
    <row r="240" spans="1:21" x14ac:dyDescent="0.3">
      <c r="A240" t="s">
        <v>732</v>
      </c>
      <c r="B240" s="6" t="str">
        <f>HYPERLINK("http://data.ntsb.gov/carol-repgen/api/Aviation/ReportMain/GenerateNewestReport/99282/pdf","AccidentReport")</f>
        <v>AccidentReport</v>
      </c>
      <c r="C240" t="s">
        <v>731</v>
      </c>
      <c r="D240" t="s">
        <v>733</v>
      </c>
      <c r="E240" t="s">
        <v>734</v>
      </c>
      <c r="F240" t="s">
        <v>88</v>
      </c>
      <c r="G240">
        <v>44.808055000000003</v>
      </c>
      <c r="H240">
        <v>-68.829443999999995</v>
      </c>
      <c r="K240" t="s">
        <v>155</v>
      </c>
      <c r="L240">
        <v>1</v>
      </c>
      <c r="M240" t="s">
        <v>90</v>
      </c>
      <c r="N240" t="s">
        <v>91</v>
      </c>
      <c r="O240" t="s">
        <v>92</v>
      </c>
      <c r="S240" t="s">
        <v>108</v>
      </c>
      <c r="T240" t="s">
        <v>109</v>
      </c>
      <c r="U240" t="s">
        <v>95</v>
      </c>
    </row>
    <row r="241" spans="1:21" x14ac:dyDescent="0.3">
      <c r="A241" t="s">
        <v>735</v>
      </c>
      <c r="B241" s="6" t="str">
        <f>HYPERLINK("http://data.ntsb.gov/carol-repgen/api/Aviation/ReportMain/GenerateNewestReport/99283/pdf","AccidentReport")</f>
        <v>AccidentReport</v>
      </c>
      <c r="C241" t="s">
        <v>731</v>
      </c>
      <c r="D241" t="s">
        <v>736</v>
      </c>
      <c r="E241" t="s">
        <v>734</v>
      </c>
      <c r="F241" t="s">
        <v>88</v>
      </c>
      <c r="G241">
        <v>43.763052999999999</v>
      </c>
      <c r="H241">
        <v>-70.672499999999999</v>
      </c>
      <c r="K241" t="s">
        <v>89</v>
      </c>
      <c r="L241">
        <v>1</v>
      </c>
      <c r="M241" t="s">
        <v>90</v>
      </c>
      <c r="N241" t="s">
        <v>91</v>
      </c>
      <c r="O241" t="s">
        <v>92</v>
      </c>
      <c r="S241" t="s">
        <v>108</v>
      </c>
      <c r="T241" t="s">
        <v>94</v>
      </c>
      <c r="U241" t="s">
        <v>95</v>
      </c>
    </row>
    <row r="242" spans="1:21" x14ac:dyDescent="0.3">
      <c r="A242" t="s">
        <v>737</v>
      </c>
      <c r="B242" s="6" t="str">
        <f>HYPERLINK("http://data.ntsb.gov/carol-repgen/api/Aviation/ReportMain/GenerateNewestReport/99300/pdf","AccidentReport")</f>
        <v>AccidentReport</v>
      </c>
      <c r="C242" t="s">
        <v>731</v>
      </c>
      <c r="D242" t="s">
        <v>738</v>
      </c>
      <c r="E242" t="s">
        <v>180</v>
      </c>
      <c r="F242" t="s">
        <v>88</v>
      </c>
      <c r="G242">
        <v>43.999442999999999</v>
      </c>
      <c r="H242">
        <v>-102.254722</v>
      </c>
      <c r="K242" t="s">
        <v>155</v>
      </c>
      <c r="L242">
        <v>1</v>
      </c>
      <c r="M242" t="s">
        <v>90</v>
      </c>
      <c r="N242" t="s">
        <v>91</v>
      </c>
      <c r="O242" t="s">
        <v>92</v>
      </c>
      <c r="S242" t="s">
        <v>108</v>
      </c>
      <c r="T242" t="s">
        <v>94</v>
      </c>
      <c r="U242" t="s">
        <v>248</v>
      </c>
    </row>
    <row r="243" spans="1:21" x14ac:dyDescent="0.3">
      <c r="A243" t="s">
        <v>739</v>
      </c>
      <c r="B243" s="6" t="str">
        <f>HYPERLINK("http://data.ntsb.gov/carol-repgen/api/Aviation/ReportMain/GenerateNewestReport/99270/pdf","AccidentReport")</f>
        <v>AccidentReport</v>
      </c>
      <c r="C243" t="s">
        <v>731</v>
      </c>
      <c r="D243" t="s">
        <v>740</v>
      </c>
      <c r="E243" t="s">
        <v>106</v>
      </c>
      <c r="F243" t="s">
        <v>88</v>
      </c>
      <c r="G243">
        <v>38.443331999999998</v>
      </c>
      <c r="H243">
        <v>-122.04666899999999</v>
      </c>
      <c r="J243">
        <v>1</v>
      </c>
      <c r="K243" t="s">
        <v>99</v>
      </c>
      <c r="L243">
        <v>1</v>
      </c>
      <c r="M243" t="s">
        <v>155</v>
      </c>
      <c r="N243" t="s">
        <v>670</v>
      </c>
      <c r="O243" t="s">
        <v>92</v>
      </c>
      <c r="S243" t="s">
        <v>101</v>
      </c>
      <c r="T243" t="s">
        <v>442</v>
      </c>
      <c r="U243" t="s">
        <v>186</v>
      </c>
    </row>
    <row r="244" spans="1:21" x14ac:dyDescent="0.3">
      <c r="A244" t="s">
        <v>741</v>
      </c>
      <c r="B244" s="6" t="str">
        <f>HYPERLINK("http://data.ntsb.gov/carol-repgen/api/Aviation/ReportMain/GenerateNewestReport/99267/pdf","AccidentReport")</f>
        <v>AccidentReport</v>
      </c>
      <c r="C244" t="s">
        <v>742</v>
      </c>
      <c r="D244" t="s">
        <v>743</v>
      </c>
      <c r="E244" t="s">
        <v>233</v>
      </c>
      <c r="F244" t="s">
        <v>88</v>
      </c>
      <c r="G244">
        <v>65.925833999999995</v>
      </c>
      <c r="H244">
        <v>-164.61138</v>
      </c>
      <c r="J244">
        <v>1</v>
      </c>
      <c r="K244" t="s">
        <v>99</v>
      </c>
      <c r="L244">
        <v>1</v>
      </c>
      <c r="M244" t="s">
        <v>90</v>
      </c>
      <c r="N244" t="s">
        <v>91</v>
      </c>
      <c r="O244" t="s">
        <v>295</v>
      </c>
      <c r="S244" t="s">
        <v>421</v>
      </c>
      <c r="T244" t="s">
        <v>332</v>
      </c>
      <c r="U244" t="s">
        <v>186</v>
      </c>
    </row>
    <row r="245" spans="1:21" x14ac:dyDescent="0.3">
      <c r="A245" t="s">
        <v>744</v>
      </c>
      <c r="B245" s="6" t="str">
        <f>HYPERLINK("http://data.ntsb.gov/carol-repgen/api/Aviation/ReportMain/GenerateNewestReport/99268/pdf","AccidentReport")</f>
        <v>AccidentReport</v>
      </c>
      <c r="C245" t="s">
        <v>742</v>
      </c>
      <c r="D245" t="s">
        <v>745</v>
      </c>
      <c r="E245" t="s">
        <v>399</v>
      </c>
      <c r="F245" t="s">
        <v>88</v>
      </c>
      <c r="G245">
        <v>38.066111999999997</v>
      </c>
      <c r="H245">
        <v>-97.860557</v>
      </c>
      <c r="K245" t="s">
        <v>89</v>
      </c>
      <c r="L245">
        <v>1</v>
      </c>
      <c r="M245" t="s">
        <v>90</v>
      </c>
      <c r="N245" t="s">
        <v>91</v>
      </c>
      <c r="O245" t="s">
        <v>92</v>
      </c>
      <c r="S245" t="s">
        <v>108</v>
      </c>
      <c r="T245" t="s">
        <v>109</v>
      </c>
      <c r="U245" t="s">
        <v>95</v>
      </c>
    </row>
    <row r="246" spans="1:21" x14ac:dyDescent="0.3">
      <c r="A246" t="s">
        <v>746</v>
      </c>
      <c r="B246" s="6" t="str">
        <f>HYPERLINK("http://data.ntsb.gov/carol-repgen/api/Aviation/ReportMain/GenerateNewestReport/99273/pdf","AccidentReport")</f>
        <v>AccidentReport</v>
      </c>
      <c r="C246" t="s">
        <v>742</v>
      </c>
      <c r="D246" t="s">
        <v>747</v>
      </c>
      <c r="E246" t="s">
        <v>131</v>
      </c>
      <c r="F246" t="s">
        <v>88</v>
      </c>
      <c r="G246">
        <v>39.385275999999998</v>
      </c>
      <c r="H246">
        <v>-104.605003</v>
      </c>
      <c r="J246">
        <v>1</v>
      </c>
      <c r="K246" t="s">
        <v>99</v>
      </c>
      <c r="L246">
        <v>1</v>
      </c>
      <c r="M246" t="s">
        <v>90</v>
      </c>
      <c r="N246" t="s">
        <v>748</v>
      </c>
      <c r="O246" t="s">
        <v>92</v>
      </c>
      <c r="S246" t="s">
        <v>108</v>
      </c>
      <c r="T246" t="s">
        <v>749</v>
      </c>
      <c r="U246" t="s">
        <v>248</v>
      </c>
    </row>
    <row r="247" spans="1:21" x14ac:dyDescent="0.3">
      <c r="A247" t="s">
        <v>750</v>
      </c>
      <c r="B247" s="6" t="str">
        <f>HYPERLINK("http://data.ntsb.gov/carol-repgen/api/Aviation/ReportMain/GenerateNewestReport/99284/pdf","AccidentReport")</f>
        <v>AccidentReport</v>
      </c>
      <c r="C247" t="s">
        <v>742</v>
      </c>
      <c r="D247" t="s">
        <v>751</v>
      </c>
      <c r="E247" t="s">
        <v>349</v>
      </c>
      <c r="F247" t="s">
        <v>88</v>
      </c>
      <c r="G247">
        <v>40.007221000000001</v>
      </c>
      <c r="H247">
        <v>-86.440550999999999</v>
      </c>
      <c r="K247" t="s">
        <v>89</v>
      </c>
      <c r="L247">
        <v>1</v>
      </c>
      <c r="M247" t="s">
        <v>90</v>
      </c>
      <c r="N247" t="s">
        <v>91</v>
      </c>
      <c r="O247" t="s">
        <v>92</v>
      </c>
      <c r="S247" t="s">
        <v>108</v>
      </c>
      <c r="T247" t="s">
        <v>94</v>
      </c>
      <c r="U247" t="s">
        <v>95</v>
      </c>
    </row>
    <row r="248" spans="1:21" x14ac:dyDescent="0.3">
      <c r="A248" t="s">
        <v>752</v>
      </c>
      <c r="B248" s="6" t="str">
        <f>HYPERLINK("http://data.ntsb.gov/carol-repgen/api/Aviation/ReportMain/GenerateNewestReport/99266/pdf","AccidentReport")</f>
        <v>AccidentReport</v>
      </c>
      <c r="C248" t="s">
        <v>753</v>
      </c>
      <c r="D248" t="s">
        <v>754</v>
      </c>
      <c r="E248" t="s">
        <v>485</v>
      </c>
      <c r="F248" t="s">
        <v>88</v>
      </c>
      <c r="G248">
        <v>41.414442999999999</v>
      </c>
      <c r="H248">
        <v>-96.108328999999998</v>
      </c>
      <c r="K248" t="s">
        <v>89</v>
      </c>
      <c r="L248">
        <v>1</v>
      </c>
      <c r="M248" t="s">
        <v>90</v>
      </c>
      <c r="N248" t="s">
        <v>100</v>
      </c>
      <c r="O248" t="s">
        <v>295</v>
      </c>
      <c r="S248" t="s">
        <v>531</v>
      </c>
      <c r="T248" t="s">
        <v>159</v>
      </c>
      <c r="U248" t="s">
        <v>150</v>
      </c>
    </row>
    <row r="249" spans="1:21" x14ac:dyDescent="0.3">
      <c r="A249" t="s">
        <v>755</v>
      </c>
      <c r="B249" s="6" t="str">
        <f>HYPERLINK("http://data.ntsb.gov/carol-repgen/api/Aviation/ReportMain/GenerateNewestReport/99280/pdf","AccidentReport")</f>
        <v>AccidentReport</v>
      </c>
      <c r="C249" t="s">
        <v>753</v>
      </c>
      <c r="D249" t="s">
        <v>756</v>
      </c>
      <c r="E249" t="s">
        <v>131</v>
      </c>
      <c r="F249" t="s">
        <v>88</v>
      </c>
      <c r="G249">
        <v>39.569999000000003</v>
      </c>
      <c r="H249">
        <v>-104.849441</v>
      </c>
      <c r="K249" t="s">
        <v>89</v>
      </c>
      <c r="L249">
        <v>1</v>
      </c>
      <c r="M249" t="s">
        <v>90</v>
      </c>
      <c r="N249" t="s">
        <v>91</v>
      </c>
      <c r="O249" t="s">
        <v>92</v>
      </c>
      <c r="S249" t="s">
        <v>108</v>
      </c>
      <c r="T249" t="s">
        <v>94</v>
      </c>
      <c r="U249" t="s">
        <v>95</v>
      </c>
    </row>
    <row r="250" spans="1:21" x14ac:dyDescent="0.3">
      <c r="A250" t="s">
        <v>757</v>
      </c>
      <c r="B250" s="6" t="str">
        <f>HYPERLINK("http://data.ntsb.gov/carol-repgen/api/Aviation/ReportMain/GenerateNewestReport/99264/pdf","AccidentReport")</f>
        <v>AccidentReport</v>
      </c>
      <c r="C250" t="s">
        <v>753</v>
      </c>
      <c r="D250" t="s">
        <v>758</v>
      </c>
      <c r="E250" t="s">
        <v>125</v>
      </c>
      <c r="F250" t="s">
        <v>88</v>
      </c>
      <c r="G250">
        <v>33.623610999999997</v>
      </c>
      <c r="H250">
        <v>-111.675552</v>
      </c>
      <c r="I250">
        <v>2</v>
      </c>
      <c r="K250" t="s">
        <v>107</v>
      </c>
      <c r="L250">
        <v>1</v>
      </c>
      <c r="M250" t="s">
        <v>147</v>
      </c>
      <c r="N250" t="s">
        <v>100</v>
      </c>
      <c r="O250" t="s">
        <v>92</v>
      </c>
      <c r="S250" t="s">
        <v>418</v>
      </c>
      <c r="T250" t="s">
        <v>102</v>
      </c>
      <c r="U250" t="s">
        <v>103</v>
      </c>
    </row>
    <row r="251" spans="1:21" x14ac:dyDescent="0.3">
      <c r="A251" t="s">
        <v>759</v>
      </c>
      <c r="B251" s="6" t="str">
        <f>HYPERLINK("http://data.ntsb.gov/carol-repgen/api/Aviation/ReportMain/GenerateNewestReport/99272/pdf","AccidentReport")</f>
        <v>AccidentReport</v>
      </c>
      <c r="C251" t="s">
        <v>753</v>
      </c>
      <c r="D251" t="s">
        <v>760</v>
      </c>
      <c r="E251" t="s">
        <v>228</v>
      </c>
      <c r="F251" t="s">
        <v>88</v>
      </c>
      <c r="G251">
        <v>30.722498999999999</v>
      </c>
      <c r="H251">
        <v>-91.648055999999997</v>
      </c>
      <c r="J251">
        <v>1</v>
      </c>
      <c r="K251" t="s">
        <v>99</v>
      </c>
      <c r="L251">
        <v>1</v>
      </c>
      <c r="M251" t="s">
        <v>90</v>
      </c>
      <c r="N251" t="s">
        <v>91</v>
      </c>
      <c r="O251" t="s">
        <v>169</v>
      </c>
      <c r="S251" t="s">
        <v>515</v>
      </c>
      <c r="T251" t="s">
        <v>229</v>
      </c>
      <c r="U251" t="s">
        <v>119</v>
      </c>
    </row>
    <row r="252" spans="1:21" x14ac:dyDescent="0.3">
      <c r="A252" t="s">
        <v>761</v>
      </c>
      <c r="B252" s="6" t="str">
        <f>HYPERLINK("http://data.ntsb.gov/carol-repgen/api/Aviation/ReportMain/GenerateNewestReport/99281/pdf","AccidentReport")</f>
        <v>AccidentReport</v>
      </c>
      <c r="C252" t="s">
        <v>762</v>
      </c>
      <c r="D252" t="s">
        <v>763</v>
      </c>
      <c r="E252" t="s">
        <v>125</v>
      </c>
      <c r="F252" t="s">
        <v>88</v>
      </c>
      <c r="G252">
        <v>33.970554</v>
      </c>
      <c r="H252">
        <v>-112.79499800000001</v>
      </c>
      <c r="K252" t="s">
        <v>155</v>
      </c>
      <c r="L252">
        <v>1</v>
      </c>
      <c r="M252" t="s">
        <v>90</v>
      </c>
      <c r="N252" t="s">
        <v>91</v>
      </c>
      <c r="O252" t="s">
        <v>92</v>
      </c>
      <c r="S252" t="s">
        <v>93</v>
      </c>
      <c r="T252" t="s">
        <v>94</v>
      </c>
      <c r="U252" t="s">
        <v>95</v>
      </c>
    </row>
    <row r="253" spans="1:21" x14ac:dyDescent="0.3">
      <c r="A253" t="s">
        <v>764</v>
      </c>
      <c r="B253" s="6" t="str">
        <f>HYPERLINK("http://data.ntsb.gov/carol-repgen/api/Aviation/ReportMain/GenerateNewestReport/99288/pdf","AccidentReport")</f>
        <v>AccidentReport</v>
      </c>
      <c r="C253" t="s">
        <v>762</v>
      </c>
      <c r="D253" t="s">
        <v>765</v>
      </c>
      <c r="E253" t="s">
        <v>154</v>
      </c>
      <c r="F253" t="s">
        <v>88</v>
      </c>
      <c r="G253">
        <v>26.204443999999999</v>
      </c>
      <c r="H253">
        <v>-98.051665999999997</v>
      </c>
      <c r="K253" t="s">
        <v>89</v>
      </c>
      <c r="L253">
        <v>1</v>
      </c>
      <c r="M253" t="s">
        <v>90</v>
      </c>
      <c r="N253" t="s">
        <v>100</v>
      </c>
      <c r="O253" t="s">
        <v>169</v>
      </c>
      <c r="S253" t="s">
        <v>515</v>
      </c>
      <c r="U253" t="s">
        <v>103</v>
      </c>
    </row>
    <row r="254" spans="1:21" x14ac:dyDescent="0.3">
      <c r="A254" t="s">
        <v>766</v>
      </c>
      <c r="B254" s="6" t="str">
        <f>HYPERLINK("http://data.ntsb.gov/carol-repgen/api/Aviation/ReportMain/GenerateNewestReport/99285/pdf","AccidentReport")</f>
        <v>AccidentReport</v>
      </c>
      <c r="C254" t="s">
        <v>767</v>
      </c>
      <c r="D254" t="s">
        <v>768</v>
      </c>
      <c r="E254" t="s">
        <v>106</v>
      </c>
      <c r="F254" t="s">
        <v>88</v>
      </c>
      <c r="G254">
        <v>33.871386999999999</v>
      </c>
      <c r="H254">
        <v>-117.98139</v>
      </c>
      <c r="I254">
        <v>1</v>
      </c>
      <c r="K254" t="s">
        <v>107</v>
      </c>
      <c r="L254">
        <v>1</v>
      </c>
      <c r="M254" t="s">
        <v>147</v>
      </c>
      <c r="N254" t="s">
        <v>91</v>
      </c>
      <c r="O254" t="s">
        <v>92</v>
      </c>
      <c r="S254" t="s">
        <v>108</v>
      </c>
      <c r="T254" t="s">
        <v>769</v>
      </c>
      <c r="U254" t="s">
        <v>222</v>
      </c>
    </row>
    <row r="255" spans="1:21" x14ac:dyDescent="0.3">
      <c r="A255" t="s">
        <v>770</v>
      </c>
      <c r="B255" s="6" t="str">
        <f>HYPERLINK("http://data.ntsb.gov/carol-repgen/api/Aviation/ReportMain/GenerateNewestReport/99286/pdf","AccidentReport")</f>
        <v>AccidentReport</v>
      </c>
      <c r="C255" t="s">
        <v>767</v>
      </c>
      <c r="D255" t="s">
        <v>771</v>
      </c>
      <c r="E255" t="s">
        <v>251</v>
      </c>
      <c r="F255" t="s">
        <v>88</v>
      </c>
      <c r="G255">
        <v>42.083888999999999</v>
      </c>
      <c r="H255">
        <v>-124.30166</v>
      </c>
      <c r="I255">
        <v>2</v>
      </c>
      <c r="K255" t="s">
        <v>107</v>
      </c>
      <c r="L255">
        <v>1</v>
      </c>
      <c r="M255" t="s">
        <v>90</v>
      </c>
      <c r="N255" t="s">
        <v>91</v>
      </c>
      <c r="O255" t="s">
        <v>92</v>
      </c>
      <c r="S255" t="s">
        <v>108</v>
      </c>
      <c r="T255" t="s">
        <v>102</v>
      </c>
      <c r="U255" t="s">
        <v>103</v>
      </c>
    </row>
    <row r="256" spans="1:21" x14ac:dyDescent="0.3">
      <c r="A256" t="s">
        <v>772</v>
      </c>
      <c r="B256" s="6" t="str">
        <f>HYPERLINK("http://data.ntsb.gov/carol-repgen/api/Aviation/ReportMain/GenerateNewestReport/99301/pdf","AccidentReport")</f>
        <v>AccidentReport</v>
      </c>
      <c r="C256" t="s">
        <v>773</v>
      </c>
      <c r="D256" t="s">
        <v>774</v>
      </c>
      <c r="E256" t="s">
        <v>360</v>
      </c>
      <c r="F256" t="s">
        <v>88</v>
      </c>
      <c r="G256">
        <v>41.132778000000002</v>
      </c>
      <c r="H256">
        <v>-88.438331000000005</v>
      </c>
      <c r="K256" t="s">
        <v>89</v>
      </c>
      <c r="L256">
        <v>1</v>
      </c>
      <c r="M256" t="s">
        <v>90</v>
      </c>
      <c r="N256" t="s">
        <v>91</v>
      </c>
      <c r="O256" t="s">
        <v>92</v>
      </c>
      <c r="S256" t="s">
        <v>108</v>
      </c>
      <c r="T256" t="s">
        <v>159</v>
      </c>
      <c r="U256" t="s">
        <v>186</v>
      </c>
    </row>
    <row r="257" spans="1:21" x14ac:dyDescent="0.3">
      <c r="A257" t="s">
        <v>775</v>
      </c>
      <c r="B257" s="6" t="str">
        <f>HYPERLINK("http://data.ntsb.gov/carol-repgen/api/Aviation/ReportMain/GenerateNewestReport/99293/pdf","AccidentReport")</f>
        <v>AccidentReport</v>
      </c>
      <c r="C257" t="s">
        <v>773</v>
      </c>
      <c r="D257" t="s">
        <v>776</v>
      </c>
      <c r="E257" t="s">
        <v>106</v>
      </c>
      <c r="F257" t="s">
        <v>88</v>
      </c>
      <c r="G257">
        <v>39.223888000000002</v>
      </c>
      <c r="H257">
        <v>-121.013336</v>
      </c>
      <c r="K257" t="s">
        <v>155</v>
      </c>
      <c r="L257">
        <v>1</v>
      </c>
      <c r="M257" t="s">
        <v>90</v>
      </c>
      <c r="N257" t="s">
        <v>91</v>
      </c>
      <c r="O257" t="s">
        <v>92</v>
      </c>
      <c r="S257" t="s">
        <v>108</v>
      </c>
      <c r="T257" t="s">
        <v>247</v>
      </c>
      <c r="U257" t="s">
        <v>95</v>
      </c>
    </row>
    <row r="258" spans="1:21" x14ac:dyDescent="0.3">
      <c r="A258" t="s">
        <v>777</v>
      </c>
      <c r="B258" s="6" t="str">
        <f>HYPERLINK("http://data.ntsb.gov/carol-repgen/api/Aviation/ReportMain/GenerateNewestReport/99290/pdf","AccidentReport")</f>
        <v>AccidentReport</v>
      </c>
      <c r="C258" t="s">
        <v>778</v>
      </c>
      <c r="D258" t="s">
        <v>779</v>
      </c>
      <c r="E258" t="s">
        <v>360</v>
      </c>
      <c r="F258" t="s">
        <v>88</v>
      </c>
      <c r="G258">
        <v>38.699722000000001</v>
      </c>
      <c r="H258">
        <v>-89.775001000000003</v>
      </c>
      <c r="J258">
        <v>1</v>
      </c>
      <c r="K258" t="s">
        <v>99</v>
      </c>
      <c r="L258">
        <v>1</v>
      </c>
      <c r="M258" t="s">
        <v>90</v>
      </c>
      <c r="N258" t="s">
        <v>100</v>
      </c>
      <c r="O258" t="s">
        <v>169</v>
      </c>
      <c r="S258" t="s">
        <v>515</v>
      </c>
      <c r="T258" t="s">
        <v>442</v>
      </c>
      <c r="U258" t="s">
        <v>103</v>
      </c>
    </row>
    <row r="259" spans="1:21" x14ac:dyDescent="0.3">
      <c r="A259" t="s">
        <v>780</v>
      </c>
      <c r="B259" s="6" t="str">
        <f>HYPERLINK("http://data.ntsb.gov/carol-repgen/api/Aviation/ReportMain/GenerateNewestReport/99296/pdf","AccidentReport")</f>
        <v>AccidentReport</v>
      </c>
      <c r="C259" t="s">
        <v>778</v>
      </c>
      <c r="D259" t="s">
        <v>781</v>
      </c>
      <c r="E259" t="s">
        <v>87</v>
      </c>
      <c r="F259" t="s">
        <v>88</v>
      </c>
      <c r="G259">
        <v>45.548053000000003</v>
      </c>
      <c r="H259">
        <v>-94.069725000000005</v>
      </c>
      <c r="K259" t="s">
        <v>89</v>
      </c>
      <c r="L259">
        <v>1</v>
      </c>
      <c r="M259" t="s">
        <v>90</v>
      </c>
      <c r="N259" t="s">
        <v>91</v>
      </c>
      <c r="O259" t="s">
        <v>92</v>
      </c>
      <c r="S259" t="s">
        <v>108</v>
      </c>
      <c r="T259" t="s">
        <v>247</v>
      </c>
      <c r="U259" t="s">
        <v>95</v>
      </c>
    </row>
    <row r="260" spans="1:21" x14ac:dyDescent="0.3">
      <c r="A260" t="s">
        <v>782</v>
      </c>
      <c r="B260" s="6" t="str">
        <f>HYPERLINK("http://data.ntsb.gov/carol-repgen/api/Aviation/ReportMain/GenerateNewestReport/99302/pdf","AccidentReport")</f>
        <v>AccidentReport</v>
      </c>
      <c r="C260" t="s">
        <v>778</v>
      </c>
      <c r="D260" t="s">
        <v>783</v>
      </c>
      <c r="E260" t="s">
        <v>203</v>
      </c>
      <c r="F260" t="s">
        <v>88</v>
      </c>
      <c r="G260">
        <v>43.525832999999999</v>
      </c>
      <c r="H260">
        <v>-89.983328999999998</v>
      </c>
      <c r="K260" t="s">
        <v>89</v>
      </c>
      <c r="L260">
        <v>1</v>
      </c>
      <c r="M260" t="s">
        <v>90</v>
      </c>
      <c r="N260" t="s">
        <v>91</v>
      </c>
      <c r="O260" t="s">
        <v>92</v>
      </c>
      <c r="S260" t="s">
        <v>101</v>
      </c>
      <c r="T260" t="s">
        <v>94</v>
      </c>
      <c r="U260" t="s">
        <v>95</v>
      </c>
    </row>
    <row r="261" spans="1:21" x14ac:dyDescent="0.3">
      <c r="A261" t="s">
        <v>784</v>
      </c>
      <c r="B261" s="6" t="str">
        <f>HYPERLINK("http://data.ntsb.gov/carol-repgen/api/Aviation/ReportMain/GenerateNewestReport/99319/pdf","AccidentReport")</f>
        <v>AccidentReport</v>
      </c>
      <c r="C261" t="s">
        <v>778</v>
      </c>
      <c r="D261" t="s">
        <v>785</v>
      </c>
      <c r="E261" t="s">
        <v>786</v>
      </c>
      <c r="F261" t="s">
        <v>88</v>
      </c>
      <c r="G261">
        <v>33.983612000000001</v>
      </c>
      <c r="H261">
        <v>-87.059448000000003</v>
      </c>
      <c r="K261" t="s">
        <v>89</v>
      </c>
      <c r="L261">
        <v>1</v>
      </c>
      <c r="M261" t="s">
        <v>90</v>
      </c>
      <c r="N261" t="s">
        <v>91</v>
      </c>
      <c r="O261" t="s">
        <v>92</v>
      </c>
      <c r="S261" t="s">
        <v>108</v>
      </c>
      <c r="T261" t="s">
        <v>109</v>
      </c>
      <c r="U261" t="s">
        <v>248</v>
      </c>
    </row>
    <row r="262" spans="1:21" x14ac:dyDescent="0.3">
      <c r="A262" t="s">
        <v>787</v>
      </c>
      <c r="B262" s="6" t="str">
        <f>HYPERLINK("http://data.ntsb.gov/carol-repgen/api/Aviation/ReportMain/GenerateNewestReport/99321/pdf","AccidentReport")</f>
        <v>AccidentReport</v>
      </c>
      <c r="C262" t="s">
        <v>778</v>
      </c>
      <c r="D262" t="s">
        <v>453</v>
      </c>
      <c r="E262" t="s">
        <v>125</v>
      </c>
      <c r="F262" t="s">
        <v>88</v>
      </c>
      <c r="G262">
        <v>33.620277000000002</v>
      </c>
      <c r="H262">
        <v>-111.91527499999999</v>
      </c>
      <c r="K262" t="s">
        <v>89</v>
      </c>
      <c r="L262">
        <v>1</v>
      </c>
      <c r="M262" t="s">
        <v>90</v>
      </c>
      <c r="N262" t="s">
        <v>91</v>
      </c>
      <c r="O262" t="s">
        <v>92</v>
      </c>
      <c r="S262" t="s">
        <v>108</v>
      </c>
      <c r="T262" t="s">
        <v>94</v>
      </c>
      <c r="U262" t="s">
        <v>95</v>
      </c>
    </row>
    <row r="263" spans="1:21" x14ac:dyDescent="0.3">
      <c r="A263" t="s">
        <v>788</v>
      </c>
      <c r="B263" s="6" t="str">
        <f>HYPERLINK("http://data.ntsb.gov/carol-repgen/api/Aviation/ReportMain/GenerateNewestReport/99289/pdf","AccidentReport")</f>
        <v>AccidentReport</v>
      </c>
      <c r="C263" t="s">
        <v>789</v>
      </c>
      <c r="D263" t="s">
        <v>790</v>
      </c>
      <c r="E263" t="s">
        <v>154</v>
      </c>
      <c r="F263" t="s">
        <v>88</v>
      </c>
      <c r="G263">
        <v>30.678332999999999</v>
      </c>
      <c r="H263">
        <v>-98.417502999999996</v>
      </c>
      <c r="I263">
        <v>2</v>
      </c>
      <c r="J263">
        <v>0</v>
      </c>
      <c r="K263" t="s">
        <v>107</v>
      </c>
      <c r="L263">
        <v>1</v>
      </c>
      <c r="M263" t="s">
        <v>147</v>
      </c>
      <c r="N263" t="s">
        <v>91</v>
      </c>
      <c r="O263" t="s">
        <v>92</v>
      </c>
      <c r="S263" t="s">
        <v>108</v>
      </c>
      <c r="T263" t="s">
        <v>102</v>
      </c>
      <c r="U263" t="s">
        <v>150</v>
      </c>
    </row>
    <row r="264" spans="1:21" x14ac:dyDescent="0.3">
      <c r="A264" t="s">
        <v>791</v>
      </c>
      <c r="B264" s="6" t="str">
        <f>HYPERLINK("http://data.ntsb.gov/carol-repgen/api/Aviation/ReportMain/GenerateNewestReport/99363/pdf","AccidentReport")</f>
        <v>AccidentReport</v>
      </c>
      <c r="C264" t="s">
        <v>789</v>
      </c>
      <c r="D264" t="s">
        <v>792</v>
      </c>
      <c r="E264" t="s">
        <v>251</v>
      </c>
      <c r="F264" t="s">
        <v>88</v>
      </c>
      <c r="G264">
        <v>44.190277000000002</v>
      </c>
      <c r="H264">
        <v>-120.820556</v>
      </c>
      <c r="K264" t="s">
        <v>89</v>
      </c>
      <c r="L264">
        <v>1</v>
      </c>
      <c r="M264" t="s">
        <v>90</v>
      </c>
      <c r="N264" t="s">
        <v>91</v>
      </c>
      <c r="O264" t="s">
        <v>92</v>
      </c>
      <c r="S264" t="s">
        <v>108</v>
      </c>
      <c r="T264" t="s">
        <v>94</v>
      </c>
      <c r="U264" t="s">
        <v>248</v>
      </c>
    </row>
    <row r="265" spans="1:21" x14ac:dyDescent="0.3">
      <c r="A265" t="s">
        <v>793</v>
      </c>
      <c r="B265" s="6" t="str">
        <f>HYPERLINK("http://data.ntsb.gov/carol-repgen/api/Aviation/ReportMain/GenerateNewestReport/99291/pdf","AccidentReport")</f>
        <v>AccidentReport</v>
      </c>
      <c r="C265" t="s">
        <v>794</v>
      </c>
      <c r="D265" t="s">
        <v>795</v>
      </c>
      <c r="E265" t="s">
        <v>154</v>
      </c>
      <c r="F265" t="s">
        <v>88</v>
      </c>
      <c r="G265">
        <v>30.037500000000001</v>
      </c>
      <c r="H265">
        <v>-99.185835999999995</v>
      </c>
      <c r="I265">
        <v>6</v>
      </c>
      <c r="K265" t="s">
        <v>107</v>
      </c>
      <c r="L265">
        <v>1</v>
      </c>
      <c r="M265" t="s">
        <v>90</v>
      </c>
      <c r="N265" t="s">
        <v>91</v>
      </c>
      <c r="O265" t="s">
        <v>92</v>
      </c>
      <c r="S265" t="s">
        <v>173</v>
      </c>
      <c r="T265" t="s">
        <v>102</v>
      </c>
      <c r="U265" t="s">
        <v>119</v>
      </c>
    </row>
    <row r="266" spans="1:21" x14ac:dyDescent="0.3">
      <c r="A266" t="s">
        <v>796</v>
      </c>
      <c r="B266" s="6" t="str">
        <f>HYPERLINK("http://data.ntsb.gov/carol-repgen/api/Aviation/ReportMain/GenerateNewestReport/99295/pdf","AccidentReport")</f>
        <v>AccidentReport</v>
      </c>
      <c r="C266" t="s">
        <v>794</v>
      </c>
      <c r="D266" t="s">
        <v>797</v>
      </c>
      <c r="E266" t="s">
        <v>206</v>
      </c>
      <c r="F266" t="s">
        <v>88</v>
      </c>
      <c r="G266">
        <v>35.755001</v>
      </c>
      <c r="H266">
        <v>-80.635002</v>
      </c>
      <c r="I266">
        <v>1</v>
      </c>
      <c r="K266" t="s">
        <v>107</v>
      </c>
      <c r="L266">
        <v>1</v>
      </c>
      <c r="M266" t="s">
        <v>147</v>
      </c>
      <c r="N266" t="s">
        <v>91</v>
      </c>
      <c r="O266" t="s">
        <v>92</v>
      </c>
      <c r="S266" t="s">
        <v>108</v>
      </c>
      <c r="T266" t="s">
        <v>102</v>
      </c>
      <c r="U266" t="s">
        <v>103</v>
      </c>
    </row>
    <row r="267" spans="1:21" x14ac:dyDescent="0.3">
      <c r="A267" t="s">
        <v>798</v>
      </c>
      <c r="B267" s="6" t="str">
        <f>HYPERLINK("http://data.ntsb.gov/carol-repgen/api/Aviation/ReportMain/GenerateNewestReport/99312/pdf","AccidentReport")</f>
        <v>AccidentReport</v>
      </c>
      <c r="C267" t="s">
        <v>794</v>
      </c>
      <c r="D267" t="s">
        <v>799</v>
      </c>
      <c r="E267" t="s">
        <v>206</v>
      </c>
      <c r="F267" t="s">
        <v>88</v>
      </c>
      <c r="G267">
        <v>34.491110999999997</v>
      </c>
      <c r="H267">
        <v>-77.531111999999993</v>
      </c>
      <c r="J267">
        <v>1</v>
      </c>
      <c r="K267" t="s">
        <v>99</v>
      </c>
      <c r="L267">
        <v>1</v>
      </c>
      <c r="M267" t="s">
        <v>90</v>
      </c>
      <c r="N267" t="s">
        <v>91</v>
      </c>
      <c r="O267" t="s">
        <v>92</v>
      </c>
      <c r="S267" t="s">
        <v>108</v>
      </c>
      <c r="T267" t="s">
        <v>332</v>
      </c>
      <c r="U267" t="s">
        <v>119</v>
      </c>
    </row>
    <row r="268" spans="1:21" x14ac:dyDescent="0.3">
      <c r="A268" t="s">
        <v>800</v>
      </c>
      <c r="B268" s="6" t="str">
        <f>HYPERLINK("http://data.ntsb.gov/carol-repgen/api/Aviation/ReportMain/GenerateNewestReport/99294/pdf","AccidentReport")</f>
        <v>AccidentReport</v>
      </c>
      <c r="C268" t="s">
        <v>794</v>
      </c>
      <c r="D268" t="s">
        <v>801</v>
      </c>
      <c r="E268" t="s">
        <v>106</v>
      </c>
      <c r="F268" t="s">
        <v>88</v>
      </c>
      <c r="G268">
        <v>33.929442999999999</v>
      </c>
      <c r="H268">
        <v>-117.57527899999999</v>
      </c>
      <c r="I268">
        <v>1</v>
      </c>
      <c r="K268" t="s">
        <v>107</v>
      </c>
      <c r="L268">
        <v>1</v>
      </c>
      <c r="M268" t="s">
        <v>147</v>
      </c>
      <c r="N268" t="s">
        <v>91</v>
      </c>
      <c r="O268" t="s">
        <v>92</v>
      </c>
      <c r="S268" t="s">
        <v>108</v>
      </c>
      <c r="T268" t="s">
        <v>102</v>
      </c>
      <c r="U268" t="s">
        <v>103</v>
      </c>
    </row>
    <row r="269" spans="1:21" x14ac:dyDescent="0.3">
      <c r="A269" t="s">
        <v>802</v>
      </c>
      <c r="B269" s="6" t="str">
        <f>HYPERLINK("http://data.ntsb.gov/carol-repgen/api/Aviation/ReportMain/GenerateNewestReport/99316/pdf","AccidentReport")</f>
        <v>AccidentReport</v>
      </c>
      <c r="C269" t="s">
        <v>794</v>
      </c>
      <c r="D269" t="s">
        <v>803</v>
      </c>
      <c r="E269" t="s">
        <v>122</v>
      </c>
      <c r="F269" t="s">
        <v>88</v>
      </c>
      <c r="G269">
        <v>44.881110999999997</v>
      </c>
      <c r="H269">
        <v>-116.003608</v>
      </c>
      <c r="K269" t="s">
        <v>89</v>
      </c>
      <c r="L269">
        <v>1</v>
      </c>
      <c r="M269" t="s">
        <v>90</v>
      </c>
      <c r="N269" t="s">
        <v>91</v>
      </c>
      <c r="O269" t="s">
        <v>92</v>
      </c>
      <c r="S269" t="s">
        <v>108</v>
      </c>
      <c r="T269" t="s">
        <v>159</v>
      </c>
      <c r="U269" t="s">
        <v>186</v>
      </c>
    </row>
    <row r="270" spans="1:21" x14ac:dyDescent="0.3">
      <c r="A270" t="s">
        <v>804</v>
      </c>
      <c r="B270" s="6" t="str">
        <f>HYPERLINK("http://data.ntsb.gov/carol-repgen/api/Aviation/ReportMain/GenerateNewestReport/99304/pdf","AccidentReport")</f>
        <v>AccidentReport</v>
      </c>
      <c r="C270" t="s">
        <v>805</v>
      </c>
      <c r="D270" t="s">
        <v>806</v>
      </c>
      <c r="E270" t="s">
        <v>260</v>
      </c>
      <c r="F270" t="s">
        <v>88</v>
      </c>
      <c r="G270">
        <v>37.807220000000001</v>
      </c>
      <c r="H270">
        <v>-87.684448000000003</v>
      </c>
      <c r="I270">
        <v>2</v>
      </c>
      <c r="J270">
        <v>0</v>
      </c>
      <c r="K270" t="s">
        <v>107</v>
      </c>
      <c r="L270">
        <v>1</v>
      </c>
      <c r="M270" t="s">
        <v>90</v>
      </c>
      <c r="N270" t="s">
        <v>91</v>
      </c>
      <c r="O270" t="s">
        <v>92</v>
      </c>
      <c r="S270" t="s">
        <v>108</v>
      </c>
      <c r="T270" t="s">
        <v>118</v>
      </c>
      <c r="U270" t="s">
        <v>119</v>
      </c>
    </row>
    <row r="271" spans="1:21" x14ac:dyDescent="0.3">
      <c r="A271" t="s">
        <v>807</v>
      </c>
      <c r="B271" s="6" t="str">
        <f>HYPERLINK("http://data.ntsb.gov/carol-repgen/api/Aviation/ReportMain/GenerateNewestReport/99306/pdf","AccidentReport")</f>
        <v>AccidentReport</v>
      </c>
      <c r="C271" t="s">
        <v>805</v>
      </c>
      <c r="D271" t="s">
        <v>808</v>
      </c>
      <c r="E271" t="s">
        <v>98</v>
      </c>
      <c r="F271" t="s">
        <v>88</v>
      </c>
      <c r="G271">
        <v>24.665277</v>
      </c>
      <c r="H271">
        <v>-82.863608999999997</v>
      </c>
      <c r="K271" t="s">
        <v>89</v>
      </c>
      <c r="L271">
        <v>1</v>
      </c>
      <c r="M271" t="s">
        <v>90</v>
      </c>
      <c r="N271" t="s">
        <v>91</v>
      </c>
      <c r="O271" t="s">
        <v>92</v>
      </c>
      <c r="S271" t="s">
        <v>108</v>
      </c>
      <c r="T271" t="s">
        <v>109</v>
      </c>
      <c r="U271" t="s">
        <v>248</v>
      </c>
    </row>
    <row r="272" spans="1:21" x14ac:dyDescent="0.3">
      <c r="A272" t="s">
        <v>809</v>
      </c>
      <c r="B272" s="6" t="str">
        <f>HYPERLINK("http://data.ntsb.gov/carol-repgen/api/Aviation/ReportMain/GenerateNewestReport/99307/pdf","AccidentReport")</f>
        <v>AccidentReport</v>
      </c>
      <c r="C272" t="s">
        <v>805</v>
      </c>
      <c r="D272" t="s">
        <v>810</v>
      </c>
      <c r="E272" t="s">
        <v>192</v>
      </c>
      <c r="F272" t="s">
        <v>88</v>
      </c>
      <c r="G272">
        <v>41.148612</v>
      </c>
      <c r="H272">
        <v>-111.767219</v>
      </c>
      <c r="K272" t="s">
        <v>89</v>
      </c>
      <c r="L272">
        <v>1</v>
      </c>
      <c r="M272" t="s">
        <v>90</v>
      </c>
      <c r="N272" t="s">
        <v>91</v>
      </c>
      <c r="O272" t="s">
        <v>92</v>
      </c>
      <c r="S272" t="s">
        <v>108</v>
      </c>
      <c r="T272" t="s">
        <v>94</v>
      </c>
      <c r="U272" t="s">
        <v>95</v>
      </c>
    </row>
    <row r="273" spans="1:21" x14ac:dyDescent="0.3">
      <c r="A273" t="s">
        <v>811</v>
      </c>
      <c r="B273" s="6" t="str">
        <f>HYPERLINK("http://data.ntsb.gov/carol-repgen/api/Aviation/ReportMain/GenerateNewestReport/99308/pdf","AccidentReport")</f>
        <v>AccidentReport</v>
      </c>
      <c r="C273" t="s">
        <v>805</v>
      </c>
      <c r="D273" t="s">
        <v>124</v>
      </c>
      <c r="E273" t="s">
        <v>125</v>
      </c>
      <c r="F273" t="s">
        <v>88</v>
      </c>
      <c r="G273">
        <v>34.654724000000002</v>
      </c>
      <c r="H273">
        <v>-112.419166</v>
      </c>
      <c r="K273" t="s">
        <v>89</v>
      </c>
      <c r="L273">
        <v>1</v>
      </c>
      <c r="M273" t="s">
        <v>90</v>
      </c>
      <c r="N273" t="s">
        <v>91</v>
      </c>
      <c r="O273" t="s">
        <v>92</v>
      </c>
      <c r="S273" t="s">
        <v>93</v>
      </c>
      <c r="T273" t="s">
        <v>220</v>
      </c>
      <c r="U273" t="s">
        <v>221</v>
      </c>
    </row>
    <row r="274" spans="1:21" x14ac:dyDescent="0.3">
      <c r="A274" t="s">
        <v>812</v>
      </c>
      <c r="B274" s="6" t="str">
        <f>HYPERLINK("http://data.ntsb.gov/carol-repgen/api/Aviation/ReportMain/GenerateNewestReport/99330/pdf","AccidentReport")</f>
        <v>AccidentReport</v>
      </c>
      <c r="C274" t="s">
        <v>813</v>
      </c>
      <c r="D274" t="s">
        <v>814</v>
      </c>
      <c r="E274" t="s">
        <v>356</v>
      </c>
      <c r="F274" t="s">
        <v>88</v>
      </c>
      <c r="G274">
        <v>34.135275999999998</v>
      </c>
      <c r="H274">
        <v>-82.873053999999996</v>
      </c>
      <c r="J274">
        <v>1</v>
      </c>
      <c r="K274" t="s">
        <v>99</v>
      </c>
      <c r="L274">
        <v>1</v>
      </c>
      <c r="M274" t="s">
        <v>90</v>
      </c>
      <c r="N274" t="s">
        <v>91</v>
      </c>
      <c r="O274" t="s">
        <v>92</v>
      </c>
      <c r="S274" t="s">
        <v>108</v>
      </c>
      <c r="T274" t="s">
        <v>118</v>
      </c>
      <c r="U274" t="s">
        <v>186</v>
      </c>
    </row>
    <row r="275" spans="1:21" x14ac:dyDescent="0.3">
      <c r="A275" t="s">
        <v>815</v>
      </c>
      <c r="B275" s="6" t="str">
        <f>HYPERLINK("http://data.ntsb.gov/carol-repgen/api/Aviation/ReportMain/GenerateNewestReport/99323/pdf","AccidentReport")</f>
        <v>AccidentReport</v>
      </c>
      <c r="C275" t="s">
        <v>813</v>
      </c>
      <c r="D275" t="s">
        <v>816</v>
      </c>
      <c r="E275" t="s">
        <v>106</v>
      </c>
      <c r="F275" t="s">
        <v>88</v>
      </c>
      <c r="G275">
        <v>36.998054000000003</v>
      </c>
      <c r="H275">
        <v>-120.12638</v>
      </c>
      <c r="I275">
        <v>2</v>
      </c>
      <c r="K275" t="s">
        <v>107</v>
      </c>
      <c r="L275">
        <v>1</v>
      </c>
      <c r="M275" t="s">
        <v>147</v>
      </c>
      <c r="N275" t="s">
        <v>91</v>
      </c>
      <c r="O275" t="s">
        <v>92</v>
      </c>
      <c r="S275" t="s">
        <v>93</v>
      </c>
      <c r="T275" t="s">
        <v>102</v>
      </c>
      <c r="U275" t="s">
        <v>150</v>
      </c>
    </row>
    <row r="276" spans="1:21" x14ac:dyDescent="0.3">
      <c r="A276" t="s">
        <v>817</v>
      </c>
      <c r="B276" s="6" t="str">
        <f>HYPERLINK("http://data.ntsb.gov/carol-repgen/api/Aviation/ReportMain/GenerateNewestReport/99327/pdf","AccidentReport")</f>
        <v>AccidentReport</v>
      </c>
      <c r="C276" t="s">
        <v>818</v>
      </c>
      <c r="D276" t="s">
        <v>819</v>
      </c>
      <c r="E276" t="s">
        <v>457</v>
      </c>
      <c r="F276" t="s">
        <v>88</v>
      </c>
      <c r="G276">
        <v>37.666110000000003</v>
      </c>
      <c r="H276">
        <v>-94.302222999999998</v>
      </c>
      <c r="K276" t="s">
        <v>89</v>
      </c>
      <c r="L276">
        <v>1</v>
      </c>
      <c r="M276" t="s">
        <v>90</v>
      </c>
      <c r="N276" t="s">
        <v>91</v>
      </c>
      <c r="O276" t="s">
        <v>92</v>
      </c>
      <c r="S276" t="s">
        <v>108</v>
      </c>
      <c r="T276" t="s">
        <v>159</v>
      </c>
      <c r="U276" t="s">
        <v>186</v>
      </c>
    </row>
    <row r="277" spans="1:21" x14ac:dyDescent="0.3">
      <c r="A277" t="s">
        <v>820</v>
      </c>
      <c r="B277" s="6" t="str">
        <f>HYPERLINK("http://data.ntsb.gov/carol-repgen/api/Aviation/ReportMain/GenerateNewestReport/99333/pdf","AccidentReport")</f>
        <v>AccidentReport</v>
      </c>
      <c r="C277" t="s">
        <v>818</v>
      </c>
      <c r="D277" t="s">
        <v>821</v>
      </c>
      <c r="E277" t="s">
        <v>251</v>
      </c>
      <c r="F277" t="s">
        <v>88</v>
      </c>
      <c r="G277">
        <v>45.194442000000002</v>
      </c>
      <c r="H277">
        <v>-123.13610799999999</v>
      </c>
      <c r="K277" t="s">
        <v>89</v>
      </c>
      <c r="L277">
        <v>1</v>
      </c>
      <c r="M277" t="s">
        <v>90</v>
      </c>
      <c r="N277" t="s">
        <v>100</v>
      </c>
      <c r="O277" t="s">
        <v>92</v>
      </c>
      <c r="S277" t="s">
        <v>93</v>
      </c>
      <c r="T277" t="s">
        <v>94</v>
      </c>
      <c r="U277" t="s">
        <v>95</v>
      </c>
    </row>
    <row r="278" spans="1:21" x14ac:dyDescent="0.3">
      <c r="A278" t="s">
        <v>822</v>
      </c>
      <c r="B278" s="6" t="str">
        <f>HYPERLINK("http://data.ntsb.gov/carol-repgen/api/Aviation/ReportMain/GenerateNewestReport/99342/pdf","AccidentReport")</f>
        <v>AccidentReport</v>
      </c>
      <c r="C278" t="s">
        <v>818</v>
      </c>
      <c r="D278" t="s">
        <v>823</v>
      </c>
      <c r="E278" t="s">
        <v>457</v>
      </c>
      <c r="F278" t="s">
        <v>88</v>
      </c>
      <c r="G278">
        <v>38.929721000000001</v>
      </c>
      <c r="H278">
        <v>-90.43</v>
      </c>
      <c r="K278" t="s">
        <v>89</v>
      </c>
      <c r="L278">
        <v>1</v>
      </c>
      <c r="M278" t="s">
        <v>90</v>
      </c>
      <c r="N278" t="s">
        <v>91</v>
      </c>
      <c r="O278" t="s">
        <v>92</v>
      </c>
      <c r="S278" t="s">
        <v>93</v>
      </c>
      <c r="T278" t="s">
        <v>109</v>
      </c>
      <c r="U278" t="s">
        <v>95</v>
      </c>
    </row>
    <row r="279" spans="1:21" x14ac:dyDescent="0.3">
      <c r="A279" t="s">
        <v>824</v>
      </c>
      <c r="B279" s="6" t="str">
        <f>HYPERLINK("http://data.ntsb.gov/carol-repgen/api/Aviation/ReportMain/GenerateNewestReport/99357/pdf","AccidentReport")</f>
        <v>AccidentReport</v>
      </c>
      <c r="C279" t="s">
        <v>818</v>
      </c>
      <c r="D279" t="s">
        <v>505</v>
      </c>
      <c r="E279" t="s">
        <v>165</v>
      </c>
      <c r="F279" t="s">
        <v>88</v>
      </c>
      <c r="G279">
        <v>35.814998000000003</v>
      </c>
      <c r="H279">
        <v>-96.873885999999999</v>
      </c>
      <c r="K279" t="s">
        <v>89</v>
      </c>
      <c r="L279">
        <v>1</v>
      </c>
      <c r="M279" t="s">
        <v>90</v>
      </c>
      <c r="N279" t="s">
        <v>91</v>
      </c>
      <c r="O279" t="s">
        <v>92</v>
      </c>
      <c r="S279" t="s">
        <v>108</v>
      </c>
      <c r="T279" t="s">
        <v>109</v>
      </c>
      <c r="U279" t="s">
        <v>95</v>
      </c>
    </row>
    <row r="280" spans="1:21" x14ac:dyDescent="0.3">
      <c r="A280" t="s">
        <v>825</v>
      </c>
      <c r="B280" s="6" t="str">
        <f>HYPERLINK("http://data.ntsb.gov/carol-repgen/api/Aviation/ReportMain/GenerateNewestReport/99396/pdf","AccidentReport")</f>
        <v>AccidentReport</v>
      </c>
      <c r="C280" t="s">
        <v>818</v>
      </c>
      <c r="D280" t="s">
        <v>826</v>
      </c>
      <c r="E280" t="s">
        <v>125</v>
      </c>
      <c r="F280" t="s">
        <v>88</v>
      </c>
      <c r="G280">
        <v>32.960276999999998</v>
      </c>
      <c r="H280">
        <v>-112.673614</v>
      </c>
      <c r="K280" t="s">
        <v>89</v>
      </c>
      <c r="L280">
        <v>1</v>
      </c>
      <c r="M280" t="s">
        <v>90</v>
      </c>
      <c r="N280" t="s">
        <v>91</v>
      </c>
      <c r="O280" t="s">
        <v>92</v>
      </c>
      <c r="S280" t="s">
        <v>108</v>
      </c>
      <c r="T280" t="s">
        <v>94</v>
      </c>
      <c r="U280" t="s">
        <v>95</v>
      </c>
    </row>
    <row r="281" spans="1:21" x14ac:dyDescent="0.3">
      <c r="A281" t="s">
        <v>827</v>
      </c>
      <c r="B281" s="6" t="str">
        <f>HYPERLINK("http://data.ntsb.gov/carol-repgen/api/Aviation/ReportMain/GenerateNewestReport/99326/pdf","AccidentReport")</f>
        <v>AccidentReport</v>
      </c>
      <c r="C281" t="s">
        <v>818</v>
      </c>
      <c r="D281" t="s">
        <v>828</v>
      </c>
      <c r="E281" t="s">
        <v>251</v>
      </c>
      <c r="F281" t="s">
        <v>88</v>
      </c>
      <c r="G281">
        <v>43.553890000000003</v>
      </c>
      <c r="H281">
        <v>-122.47583</v>
      </c>
      <c r="K281" t="s">
        <v>89</v>
      </c>
      <c r="L281">
        <v>1</v>
      </c>
      <c r="M281" t="s">
        <v>90</v>
      </c>
      <c r="N281" t="s">
        <v>100</v>
      </c>
      <c r="O281" t="s">
        <v>169</v>
      </c>
      <c r="S281" t="s">
        <v>515</v>
      </c>
      <c r="T281" t="s">
        <v>381</v>
      </c>
      <c r="U281" t="s">
        <v>103</v>
      </c>
    </row>
    <row r="282" spans="1:21" x14ac:dyDescent="0.3">
      <c r="A282" t="s">
        <v>829</v>
      </c>
      <c r="B282" s="6" t="str">
        <f>HYPERLINK("http://data.ntsb.gov/carol-repgen/api/Aviation/ReportMain/GenerateNewestReport/99328/pdf","AccidentReport")</f>
        <v>AccidentReport</v>
      </c>
      <c r="C282" t="s">
        <v>830</v>
      </c>
      <c r="D282" t="s">
        <v>831</v>
      </c>
      <c r="E282" t="s">
        <v>154</v>
      </c>
      <c r="F282" t="s">
        <v>88</v>
      </c>
      <c r="G282">
        <v>32.876387999999999</v>
      </c>
      <c r="H282">
        <v>-101.945831</v>
      </c>
      <c r="J282">
        <v>1</v>
      </c>
      <c r="K282" t="s">
        <v>99</v>
      </c>
      <c r="L282">
        <v>1</v>
      </c>
      <c r="M282" t="s">
        <v>89</v>
      </c>
      <c r="N282" t="s">
        <v>670</v>
      </c>
      <c r="O282" t="s">
        <v>92</v>
      </c>
      <c r="S282" t="s">
        <v>108</v>
      </c>
      <c r="T282" t="s">
        <v>109</v>
      </c>
      <c r="U282" t="s">
        <v>95</v>
      </c>
    </row>
    <row r="283" spans="1:21" x14ac:dyDescent="0.3">
      <c r="A283" t="s">
        <v>832</v>
      </c>
      <c r="B283" s="6" t="str">
        <f>HYPERLINK("http://data.ntsb.gov/carol-repgen/api/Aviation/ReportMain/GenerateNewestReport/99329/pdf","AccidentReport")</f>
        <v>AccidentReport</v>
      </c>
      <c r="C283" t="s">
        <v>830</v>
      </c>
      <c r="D283" t="s">
        <v>833</v>
      </c>
      <c r="E283" t="s">
        <v>154</v>
      </c>
      <c r="F283" t="s">
        <v>88</v>
      </c>
      <c r="G283">
        <v>33.193053999999997</v>
      </c>
      <c r="H283">
        <v>-95.611389000000003</v>
      </c>
      <c r="K283" t="s">
        <v>89</v>
      </c>
      <c r="L283">
        <v>1</v>
      </c>
      <c r="M283" t="s">
        <v>90</v>
      </c>
      <c r="N283" t="s">
        <v>91</v>
      </c>
      <c r="O283" t="s">
        <v>92</v>
      </c>
      <c r="S283" t="s">
        <v>108</v>
      </c>
      <c r="T283" t="s">
        <v>118</v>
      </c>
      <c r="U283" t="s">
        <v>186</v>
      </c>
    </row>
    <row r="284" spans="1:21" x14ac:dyDescent="0.3">
      <c r="A284" t="s">
        <v>834</v>
      </c>
      <c r="B284" s="6" t="str">
        <f>HYPERLINK("http://data.ntsb.gov/carol-repgen/api/Aviation/ReportMain/GenerateNewestReport/99331/pdf","AccidentReport")</f>
        <v>AccidentReport</v>
      </c>
      <c r="C284" t="s">
        <v>830</v>
      </c>
      <c r="D284" t="s">
        <v>835</v>
      </c>
      <c r="E284" t="s">
        <v>206</v>
      </c>
      <c r="F284" t="s">
        <v>88</v>
      </c>
      <c r="G284">
        <v>35.392501000000003</v>
      </c>
      <c r="H284">
        <v>-78.706665000000001</v>
      </c>
      <c r="K284" t="s">
        <v>155</v>
      </c>
      <c r="L284">
        <v>1</v>
      </c>
      <c r="M284" t="s">
        <v>90</v>
      </c>
      <c r="N284" t="s">
        <v>91</v>
      </c>
      <c r="O284" t="s">
        <v>92</v>
      </c>
      <c r="S284" t="s">
        <v>108</v>
      </c>
      <c r="T284" t="s">
        <v>159</v>
      </c>
      <c r="U284" t="s">
        <v>186</v>
      </c>
    </row>
    <row r="285" spans="1:21" x14ac:dyDescent="0.3">
      <c r="A285" t="s">
        <v>836</v>
      </c>
      <c r="B285" s="6" t="str">
        <f>HYPERLINK("http://data.ntsb.gov/carol-repgen/api/Aviation/ReportMain/GenerateNewestReport/99334/pdf","AccidentReport")</f>
        <v>AccidentReport</v>
      </c>
      <c r="C285" t="s">
        <v>830</v>
      </c>
      <c r="D285" t="s">
        <v>837</v>
      </c>
      <c r="E285" t="s">
        <v>192</v>
      </c>
      <c r="F285" t="s">
        <v>88</v>
      </c>
      <c r="G285">
        <v>40.278331000000001</v>
      </c>
      <c r="H285">
        <v>-110.051391</v>
      </c>
      <c r="K285" t="s">
        <v>89</v>
      </c>
      <c r="L285">
        <v>1</v>
      </c>
      <c r="M285" t="s">
        <v>90</v>
      </c>
      <c r="N285" t="s">
        <v>91</v>
      </c>
      <c r="O285" t="s">
        <v>92</v>
      </c>
      <c r="S285" t="s">
        <v>108</v>
      </c>
      <c r="T285" t="s">
        <v>94</v>
      </c>
      <c r="U285" t="s">
        <v>95</v>
      </c>
    </row>
    <row r="286" spans="1:21" x14ac:dyDescent="0.3">
      <c r="A286" t="s">
        <v>838</v>
      </c>
      <c r="B286" s="6" t="str">
        <f>HYPERLINK("http://data.ntsb.gov/carol-repgen/api/Aviation/ReportMain/GenerateNewestReport/99354/pdf","AccidentReport")</f>
        <v>AccidentReport</v>
      </c>
      <c r="C286" t="s">
        <v>830</v>
      </c>
      <c r="D286" t="s">
        <v>839</v>
      </c>
      <c r="E286" t="s">
        <v>206</v>
      </c>
      <c r="F286" t="s">
        <v>88</v>
      </c>
      <c r="G286">
        <v>36.133609</v>
      </c>
      <c r="H286">
        <v>-80.221946000000003</v>
      </c>
      <c r="K286" t="s">
        <v>89</v>
      </c>
      <c r="L286">
        <v>1</v>
      </c>
      <c r="M286" t="s">
        <v>90</v>
      </c>
      <c r="N286" t="s">
        <v>91</v>
      </c>
      <c r="O286" t="s">
        <v>92</v>
      </c>
      <c r="S286" t="s">
        <v>108</v>
      </c>
      <c r="T286" t="s">
        <v>94</v>
      </c>
      <c r="U286" t="s">
        <v>95</v>
      </c>
    </row>
    <row r="287" spans="1:21" x14ac:dyDescent="0.3">
      <c r="A287" t="s">
        <v>840</v>
      </c>
      <c r="B287" s="6" t="str">
        <f>HYPERLINK("http://data.ntsb.gov/carol-repgen/api/Aviation/ReportMain/GenerateNewestReport/99338/pdf","AccidentReport")</f>
        <v>AccidentReport</v>
      </c>
      <c r="C287" t="s">
        <v>841</v>
      </c>
      <c r="D287" t="s">
        <v>842</v>
      </c>
      <c r="E287" t="s">
        <v>154</v>
      </c>
      <c r="F287" t="s">
        <v>88</v>
      </c>
      <c r="G287">
        <v>34.363334000000002</v>
      </c>
      <c r="H287">
        <v>-99.900833000000006</v>
      </c>
      <c r="K287" t="s">
        <v>89</v>
      </c>
      <c r="L287">
        <v>1</v>
      </c>
      <c r="M287" t="s">
        <v>90</v>
      </c>
      <c r="N287" t="s">
        <v>91</v>
      </c>
      <c r="O287" t="s">
        <v>169</v>
      </c>
      <c r="S287" t="s">
        <v>515</v>
      </c>
      <c r="T287" t="s">
        <v>113</v>
      </c>
      <c r="U287" t="s">
        <v>103</v>
      </c>
    </row>
    <row r="288" spans="1:21" x14ac:dyDescent="0.3">
      <c r="A288" t="s">
        <v>843</v>
      </c>
      <c r="B288" s="6" t="str">
        <f>HYPERLINK("http://data.ntsb.gov/carol-repgen/api/Aviation/ReportMain/GenerateNewestReport/99335/pdf","AccidentReport")</f>
        <v>AccidentReport</v>
      </c>
      <c r="C288" t="s">
        <v>841</v>
      </c>
      <c r="D288" t="s">
        <v>844</v>
      </c>
      <c r="E288" t="s">
        <v>106</v>
      </c>
      <c r="F288" t="s">
        <v>88</v>
      </c>
      <c r="G288">
        <v>38.909168000000001</v>
      </c>
      <c r="H288">
        <v>-121.351387</v>
      </c>
      <c r="K288" t="s">
        <v>89</v>
      </c>
      <c r="L288">
        <v>1</v>
      </c>
      <c r="M288" t="s">
        <v>90</v>
      </c>
      <c r="N288" t="s">
        <v>91</v>
      </c>
      <c r="O288" t="s">
        <v>92</v>
      </c>
      <c r="S288" t="s">
        <v>93</v>
      </c>
      <c r="T288" t="s">
        <v>94</v>
      </c>
      <c r="U288" t="s">
        <v>95</v>
      </c>
    </row>
    <row r="289" spans="1:21" x14ac:dyDescent="0.3">
      <c r="A289" t="s">
        <v>845</v>
      </c>
      <c r="B289" s="6" t="str">
        <f>HYPERLINK("http://data.ntsb.gov/carol-repgen/api/Aviation/ReportMain/GenerateNewestReport/99491/pdf","AccidentReport")</f>
        <v>AccidentReport</v>
      </c>
      <c r="C289" t="s">
        <v>841</v>
      </c>
      <c r="D289" t="s">
        <v>846</v>
      </c>
      <c r="E289" t="s">
        <v>106</v>
      </c>
      <c r="F289" t="s">
        <v>88</v>
      </c>
      <c r="G289">
        <v>34.908054</v>
      </c>
      <c r="H289">
        <v>-117.885559</v>
      </c>
      <c r="K289" t="s">
        <v>89</v>
      </c>
      <c r="L289">
        <v>1</v>
      </c>
      <c r="M289" t="s">
        <v>90</v>
      </c>
      <c r="N289" t="s">
        <v>91</v>
      </c>
      <c r="O289" t="s">
        <v>92</v>
      </c>
      <c r="S289" t="s">
        <v>108</v>
      </c>
      <c r="T289" t="s">
        <v>381</v>
      </c>
      <c r="U289" t="s">
        <v>381</v>
      </c>
    </row>
    <row r="290" spans="1:21" x14ac:dyDescent="0.3">
      <c r="A290" t="s">
        <v>847</v>
      </c>
      <c r="B290" s="6" t="str">
        <f>HYPERLINK("http://data.ntsb.gov/carol-repgen/api/Aviation/ReportMain/GenerateNewestReport/99341/pdf","AccidentReport")</f>
        <v>AccidentReport</v>
      </c>
      <c r="C290" t="s">
        <v>841</v>
      </c>
      <c r="D290" t="s">
        <v>848</v>
      </c>
      <c r="E290" t="s">
        <v>176</v>
      </c>
      <c r="F290" t="s">
        <v>88</v>
      </c>
      <c r="G290">
        <v>48.047221999999998</v>
      </c>
      <c r="H290">
        <v>-122.874168</v>
      </c>
      <c r="K290" t="s">
        <v>155</v>
      </c>
      <c r="L290">
        <v>1</v>
      </c>
      <c r="M290" t="s">
        <v>90</v>
      </c>
      <c r="N290" t="s">
        <v>91</v>
      </c>
      <c r="O290" t="s">
        <v>92</v>
      </c>
      <c r="S290" t="s">
        <v>108</v>
      </c>
      <c r="T290" t="s">
        <v>159</v>
      </c>
      <c r="U290" t="s">
        <v>186</v>
      </c>
    </row>
    <row r="291" spans="1:21" x14ac:dyDescent="0.3">
      <c r="A291" t="s">
        <v>849</v>
      </c>
      <c r="B291" s="6" t="str">
        <f>HYPERLINK("http://data.ntsb.gov/carol-repgen/api/Aviation/ReportMain/GenerateNewestReport/99351/pdf","AccidentReport")</f>
        <v>AccidentReport</v>
      </c>
      <c r="C291" t="s">
        <v>850</v>
      </c>
      <c r="D291" t="s">
        <v>851</v>
      </c>
      <c r="E291" t="s">
        <v>98</v>
      </c>
      <c r="F291" t="s">
        <v>88</v>
      </c>
      <c r="G291">
        <v>27.844722000000001</v>
      </c>
      <c r="H291">
        <v>-80.756111000000004</v>
      </c>
      <c r="I291">
        <v>0</v>
      </c>
      <c r="J291">
        <v>0</v>
      </c>
      <c r="K291" t="s">
        <v>89</v>
      </c>
      <c r="L291">
        <v>1</v>
      </c>
      <c r="M291" t="s">
        <v>90</v>
      </c>
      <c r="N291" t="s">
        <v>91</v>
      </c>
      <c r="O291" t="s">
        <v>92</v>
      </c>
      <c r="S291" t="s">
        <v>93</v>
      </c>
      <c r="T291" t="s">
        <v>159</v>
      </c>
      <c r="U291" t="s">
        <v>852</v>
      </c>
    </row>
    <row r="292" spans="1:21" x14ac:dyDescent="0.3">
      <c r="A292" t="s">
        <v>853</v>
      </c>
      <c r="B292" s="6" t="str">
        <f>HYPERLINK("http://data.ntsb.gov/carol-repgen/api/Aviation/ReportMain/GenerateNewestReport/99708/pdf","AccidentReport")</f>
        <v>AccidentReport</v>
      </c>
      <c r="C292" t="s">
        <v>850</v>
      </c>
      <c r="D292" t="s">
        <v>854</v>
      </c>
      <c r="E292" t="s">
        <v>106</v>
      </c>
      <c r="F292" t="s">
        <v>88</v>
      </c>
      <c r="G292">
        <v>35.927222999999998</v>
      </c>
      <c r="H292">
        <v>-119.271942</v>
      </c>
      <c r="K292" t="s">
        <v>89</v>
      </c>
      <c r="L292">
        <v>1</v>
      </c>
      <c r="M292" t="s">
        <v>90</v>
      </c>
      <c r="N292" t="s">
        <v>91</v>
      </c>
      <c r="O292" t="s">
        <v>295</v>
      </c>
      <c r="S292" t="s">
        <v>531</v>
      </c>
      <c r="T292" t="s">
        <v>442</v>
      </c>
      <c r="U292" t="s">
        <v>103</v>
      </c>
    </row>
    <row r="293" spans="1:21" x14ac:dyDescent="0.3">
      <c r="A293" t="s">
        <v>855</v>
      </c>
      <c r="B293" s="6" t="str">
        <f>HYPERLINK("http://data.ntsb.gov/carol-repgen/api/Aviation/ReportMain/GenerateNewestReport/99339/pdf","AccidentReport")</f>
        <v>AccidentReport</v>
      </c>
      <c r="C293" t="s">
        <v>850</v>
      </c>
      <c r="D293" t="s">
        <v>856</v>
      </c>
      <c r="E293" t="s">
        <v>176</v>
      </c>
      <c r="F293" t="s">
        <v>88</v>
      </c>
      <c r="G293">
        <v>45.789664999999999</v>
      </c>
      <c r="H293">
        <v>-122.69049</v>
      </c>
      <c r="I293">
        <v>2</v>
      </c>
      <c r="K293" t="s">
        <v>107</v>
      </c>
      <c r="L293">
        <v>1</v>
      </c>
      <c r="M293" t="s">
        <v>90</v>
      </c>
      <c r="N293" t="s">
        <v>91</v>
      </c>
      <c r="O293" t="s">
        <v>92</v>
      </c>
      <c r="S293" t="s">
        <v>108</v>
      </c>
      <c r="T293" t="s">
        <v>102</v>
      </c>
      <c r="U293" t="s">
        <v>119</v>
      </c>
    </row>
    <row r="294" spans="1:21" x14ac:dyDescent="0.3">
      <c r="A294" t="s">
        <v>857</v>
      </c>
      <c r="B294" s="6" t="str">
        <f>HYPERLINK("http://data.ntsb.gov/carol-repgen/api/Aviation/ReportMain/GenerateNewestReport/99390/pdf","AccidentReport")</f>
        <v>AccidentReport</v>
      </c>
      <c r="C294" t="s">
        <v>858</v>
      </c>
      <c r="D294" t="s">
        <v>859</v>
      </c>
      <c r="E294" t="s">
        <v>206</v>
      </c>
      <c r="F294" t="s">
        <v>88</v>
      </c>
      <c r="G294">
        <v>35.072775999999998</v>
      </c>
      <c r="H294">
        <v>-77.043052000000003</v>
      </c>
      <c r="K294" t="s">
        <v>155</v>
      </c>
      <c r="L294">
        <v>1</v>
      </c>
      <c r="M294" t="s">
        <v>90</v>
      </c>
      <c r="N294" t="s">
        <v>91</v>
      </c>
      <c r="O294" t="s">
        <v>92</v>
      </c>
      <c r="S294" t="s">
        <v>93</v>
      </c>
      <c r="T294" t="s">
        <v>94</v>
      </c>
      <c r="U294" t="s">
        <v>95</v>
      </c>
    </row>
    <row r="295" spans="1:21" x14ac:dyDescent="0.3">
      <c r="A295" t="s">
        <v>860</v>
      </c>
      <c r="B295" s="6" t="str">
        <f>HYPERLINK("http://data.ntsb.gov/carol-repgen/api/Aviation/ReportMain/GenerateNewestReport/99345/pdf","AccidentReport")</f>
        <v>AccidentReport</v>
      </c>
      <c r="C295" t="s">
        <v>858</v>
      </c>
      <c r="D295" t="s">
        <v>861</v>
      </c>
      <c r="E295" t="s">
        <v>360</v>
      </c>
      <c r="F295" t="s">
        <v>88</v>
      </c>
      <c r="G295">
        <v>37.537222999999997</v>
      </c>
      <c r="H295">
        <v>-89.891943999999995</v>
      </c>
      <c r="K295" t="s">
        <v>89</v>
      </c>
      <c r="L295">
        <v>1</v>
      </c>
      <c r="M295" t="s">
        <v>90</v>
      </c>
      <c r="N295" t="s">
        <v>862</v>
      </c>
      <c r="O295" t="s">
        <v>92</v>
      </c>
      <c r="S295" t="s">
        <v>108</v>
      </c>
      <c r="T295" t="s">
        <v>102</v>
      </c>
      <c r="U295" t="s">
        <v>95</v>
      </c>
    </row>
    <row r="296" spans="1:21" x14ac:dyDescent="0.3">
      <c r="A296" t="s">
        <v>863</v>
      </c>
      <c r="B296" s="6" t="str">
        <f>HYPERLINK("http://data.ntsb.gov/carol-repgen/api/Aviation/ReportMain/GenerateNewestReport/99356/pdf","AccidentReport")</f>
        <v>AccidentReport</v>
      </c>
      <c r="C296" t="s">
        <v>858</v>
      </c>
      <c r="D296" t="s">
        <v>864</v>
      </c>
      <c r="E296" t="s">
        <v>233</v>
      </c>
      <c r="F296" t="s">
        <v>88</v>
      </c>
      <c r="G296">
        <v>61.599165999999997</v>
      </c>
      <c r="H296">
        <v>-149.45056099999999</v>
      </c>
      <c r="K296" t="s">
        <v>89</v>
      </c>
      <c r="L296">
        <v>1</v>
      </c>
      <c r="M296" t="s">
        <v>90</v>
      </c>
      <c r="N296" t="s">
        <v>91</v>
      </c>
      <c r="O296" t="s">
        <v>92</v>
      </c>
      <c r="S296" t="s">
        <v>93</v>
      </c>
      <c r="T296" t="s">
        <v>159</v>
      </c>
      <c r="U296" t="s">
        <v>186</v>
      </c>
    </row>
    <row r="297" spans="1:21" x14ac:dyDescent="0.3">
      <c r="A297" t="s">
        <v>865</v>
      </c>
      <c r="B297" s="6" t="str">
        <f>HYPERLINK("http://data.ntsb.gov/carol-repgen/api/Aviation/ReportMain/GenerateNewestReport/99359/pdf","AccidentReport")</f>
        <v>AccidentReport</v>
      </c>
      <c r="C297" t="s">
        <v>858</v>
      </c>
      <c r="D297" t="s">
        <v>866</v>
      </c>
      <c r="E297" t="s">
        <v>112</v>
      </c>
      <c r="F297" t="s">
        <v>88</v>
      </c>
      <c r="G297">
        <v>45.859442999999999</v>
      </c>
      <c r="H297">
        <v>-113.96805500000001</v>
      </c>
      <c r="K297" t="s">
        <v>89</v>
      </c>
      <c r="L297">
        <v>1</v>
      </c>
      <c r="M297" t="s">
        <v>90</v>
      </c>
      <c r="N297" t="s">
        <v>100</v>
      </c>
      <c r="O297" t="s">
        <v>169</v>
      </c>
      <c r="S297" t="s">
        <v>515</v>
      </c>
      <c r="T297" t="s">
        <v>113</v>
      </c>
      <c r="U297" t="s">
        <v>103</v>
      </c>
    </row>
    <row r="298" spans="1:21" x14ac:dyDescent="0.3">
      <c r="A298" t="s">
        <v>867</v>
      </c>
      <c r="B298" s="6" t="str">
        <f>HYPERLINK("http://data.ntsb.gov/carol-repgen/api/Aviation/ReportMain/GenerateNewestReport/99404/pdf","AccidentReport")</f>
        <v>AccidentReport</v>
      </c>
      <c r="C298" t="s">
        <v>858</v>
      </c>
      <c r="D298" t="s">
        <v>868</v>
      </c>
      <c r="E298" t="s">
        <v>265</v>
      </c>
      <c r="F298" t="s">
        <v>88</v>
      </c>
      <c r="G298">
        <v>36.894443000000003</v>
      </c>
      <c r="H298">
        <v>-81.350555</v>
      </c>
      <c r="K298" t="s">
        <v>89</v>
      </c>
      <c r="L298">
        <v>1</v>
      </c>
      <c r="M298" t="s">
        <v>90</v>
      </c>
      <c r="N298" t="s">
        <v>91</v>
      </c>
      <c r="O298" t="s">
        <v>92</v>
      </c>
      <c r="S298" t="s">
        <v>108</v>
      </c>
      <c r="T298" t="s">
        <v>102</v>
      </c>
      <c r="U298" t="s">
        <v>95</v>
      </c>
    </row>
    <row r="299" spans="1:21" x14ac:dyDescent="0.3">
      <c r="A299" t="s">
        <v>869</v>
      </c>
      <c r="B299" s="6" t="str">
        <f>HYPERLINK("http://data.ntsb.gov/carol-repgen/api/Aviation/ReportMain/GenerateNewestReport/99350/pdf","AccidentReport")</f>
        <v>AccidentReport</v>
      </c>
      <c r="C299" t="s">
        <v>870</v>
      </c>
      <c r="D299" t="s">
        <v>871</v>
      </c>
      <c r="E299" t="s">
        <v>117</v>
      </c>
      <c r="F299" t="s">
        <v>88</v>
      </c>
      <c r="G299">
        <v>40.764446</v>
      </c>
      <c r="H299">
        <v>-78.211112</v>
      </c>
      <c r="I299">
        <v>2</v>
      </c>
      <c r="K299" t="s">
        <v>107</v>
      </c>
      <c r="L299">
        <v>1</v>
      </c>
      <c r="M299" t="s">
        <v>90</v>
      </c>
      <c r="N299" t="s">
        <v>91</v>
      </c>
      <c r="O299" t="s">
        <v>92</v>
      </c>
      <c r="S299" t="s">
        <v>108</v>
      </c>
      <c r="T299" t="s">
        <v>279</v>
      </c>
      <c r="U299" t="s">
        <v>186</v>
      </c>
    </row>
    <row r="300" spans="1:21" x14ac:dyDescent="0.3">
      <c r="A300" t="s">
        <v>872</v>
      </c>
      <c r="B300" s="6" t="str">
        <f>HYPERLINK("http://data.ntsb.gov/carol-repgen/api/Aviation/ReportMain/GenerateNewestReport/99388/pdf","AccidentReport")</f>
        <v>AccidentReport</v>
      </c>
      <c r="C300" t="s">
        <v>870</v>
      </c>
      <c r="D300" t="s">
        <v>873</v>
      </c>
      <c r="F300" t="s">
        <v>874</v>
      </c>
      <c r="G300">
        <v>54.709999000000003</v>
      </c>
      <c r="H300">
        <v>58.363886999999998</v>
      </c>
      <c r="K300" t="s">
        <v>89</v>
      </c>
      <c r="L300">
        <v>1</v>
      </c>
      <c r="M300" t="s">
        <v>90</v>
      </c>
      <c r="N300" t="s">
        <v>91</v>
      </c>
      <c r="O300" t="s">
        <v>240</v>
      </c>
      <c r="T300" t="s">
        <v>102</v>
      </c>
      <c r="U300" t="s">
        <v>186</v>
      </c>
    </row>
    <row r="301" spans="1:21" x14ac:dyDescent="0.3">
      <c r="A301" t="s">
        <v>875</v>
      </c>
      <c r="B301" s="6" t="str">
        <f>HYPERLINK("http://data.ntsb.gov/carol-repgen/api/Aviation/ReportMain/GenerateNewestReport/99352/pdf","AccidentReport")</f>
        <v>AccidentReport</v>
      </c>
      <c r="C301" t="s">
        <v>870</v>
      </c>
      <c r="D301" t="s">
        <v>876</v>
      </c>
      <c r="E301" t="s">
        <v>106</v>
      </c>
      <c r="F301" t="s">
        <v>88</v>
      </c>
      <c r="G301">
        <v>40.36</v>
      </c>
      <c r="H301">
        <v>-121.510559</v>
      </c>
      <c r="I301">
        <v>1</v>
      </c>
      <c r="J301">
        <v>2</v>
      </c>
      <c r="K301" t="s">
        <v>107</v>
      </c>
      <c r="L301">
        <v>1</v>
      </c>
      <c r="M301" t="s">
        <v>90</v>
      </c>
      <c r="N301" t="s">
        <v>91</v>
      </c>
      <c r="O301" t="s">
        <v>92</v>
      </c>
      <c r="S301" t="s">
        <v>108</v>
      </c>
      <c r="T301" t="s">
        <v>159</v>
      </c>
      <c r="U301" t="s">
        <v>186</v>
      </c>
    </row>
    <row r="302" spans="1:21" x14ac:dyDescent="0.3">
      <c r="A302" t="s">
        <v>877</v>
      </c>
      <c r="B302" s="6" t="str">
        <f>HYPERLINK("http://data.ntsb.gov/carol-repgen/api/Aviation/ReportMain/GenerateNewestReport/99358/pdf","AccidentReport")</f>
        <v>AccidentReport</v>
      </c>
      <c r="C302" t="s">
        <v>870</v>
      </c>
      <c r="D302" t="s">
        <v>878</v>
      </c>
      <c r="E302" t="s">
        <v>125</v>
      </c>
      <c r="F302" t="s">
        <v>88</v>
      </c>
      <c r="G302">
        <v>34.848609000000003</v>
      </c>
      <c r="H302">
        <v>-111.78833</v>
      </c>
      <c r="K302" t="s">
        <v>89</v>
      </c>
      <c r="L302">
        <v>1</v>
      </c>
      <c r="M302" t="s">
        <v>90</v>
      </c>
      <c r="N302" t="s">
        <v>91</v>
      </c>
      <c r="O302" t="s">
        <v>92</v>
      </c>
      <c r="S302" t="s">
        <v>108</v>
      </c>
      <c r="T302" t="s">
        <v>159</v>
      </c>
      <c r="U302" t="s">
        <v>150</v>
      </c>
    </row>
    <row r="303" spans="1:21" x14ac:dyDescent="0.3">
      <c r="A303" t="s">
        <v>879</v>
      </c>
      <c r="B303" s="6" t="str">
        <f>HYPERLINK("http://data.ntsb.gov/carol-repgen/api/Aviation/ReportMain/GenerateNewestReport/99360/pdf","AccidentReport")</f>
        <v>AccidentReport</v>
      </c>
      <c r="C303" t="s">
        <v>870</v>
      </c>
      <c r="D303" t="s">
        <v>880</v>
      </c>
      <c r="E303" t="s">
        <v>106</v>
      </c>
      <c r="F303" t="s">
        <v>88</v>
      </c>
      <c r="G303">
        <v>34.140239000000001</v>
      </c>
      <c r="H303">
        <v>-117.65024</v>
      </c>
      <c r="J303">
        <v>1</v>
      </c>
      <c r="K303" t="s">
        <v>99</v>
      </c>
      <c r="L303">
        <v>1</v>
      </c>
      <c r="M303" t="s">
        <v>90</v>
      </c>
      <c r="N303" t="s">
        <v>91</v>
      </c>
      <c r="O303" t="s">
        <v>92</v>
      </c>
      <c r="S303" t="s">
        <v>108</v>
      </c>
      <c r="T303" t="s">
        <v>159</v>
      </c>
      <c r="U303" t="s">
        <v>150</v>
      </c>
    </row>
    <row r="304" spans="1:21" x14ac:dyDescent="0.3">
      <c r="A304" t="s">
        <v>881</v>
      </c>
      <c r="B304" s="6" t="str">
        <f>HYPERLINK("http://data.ntsb.gov/carol-repgen/api/Aviation/ReportMain/GenerateNewestReport/99365/pdf","AccidentReport")</f>
        <v>AccidentReport</v>
      </c>
      <c r="C304" t="s">
        <v>870</v>
      </c>
      <c r="D304" t="s">
        <v>882</v>
      </c>
      <c r="E304" t="s">
        <v>176</v>
      </c>
      <c r="F304" t="s">
        <v>88</v>
      </c>
      <c r="G304">
        <v>45.892501000000003</v>
      </c>
      <c r="H304">
        <v>-122.735557</v>
      </c>
      <c r="K304" t="s">
        <v>89</v>
      </c>
      <c r="L304">
        <v>1</v>
      </c>
      <c r="M304" t="s">
        <v>90</v>
      </c>
      <c r="N304" t="s">
        <v>91</v>
      </c>
      <c r="O304" t="s">
        <v>92</v>
      </c>
      <c r="S304" t="s">
        <v>108</v>
      </c>
      <c r="T304" t="s">
        <v>159</v>
      </c>
      <c r="U304" t="s">
        <v>95</v>
      </c>
    </row>
    <row r="305" spans="1:21" x14ac:dyDescent="0.3">
      <c r="A305" t="s">
        <v>883</v>
      </c>
      <c r="B305" s="6" t="str">
        <f>HYPERLINK("http://data.ntsb.gov/carol-repgen/api/Aviation/ReportMain/GenerateNewestReport/99362/pdf","AccidentReport")</f>
        <v>AccidentReport</v>
      </c>
      <c r="C305" t="s">
        <v>884</v>
      </c>
      <c r="D305" t="s">
        <v>885</v>
      </c>
      <c r="E305" t="s">
        <v>154</v>
      </c>
      <c r="F305" t="s">
        <v>88</v>
      </c>
      <c r="G305">
        <v>32.770831999999999</v>
      </c>
      <c r="H305">
        <v>-98.042777999999998</v>
      </c>
      <c r="K305" t="s">
        <v>89</v>
      </c>
      <c r="L305">
        <v>1</v>
      </c>
      <c r="M305" t="s">
        <v>90</v>
      </c>
      <c r="N305" t="s">
        <v>91</v>
      </c>
      <c r="O305" t="s">
        <v>92</v>
      </c>
      <c r="S305" t="s">
        <v>108</v>
      </c>
      <c r="T305" t="s">
        <v>139</v>
      </c>
      <c r="U305" t="s">
        <v>119</v>
      </c>
    </row>
    <row r="306" spans="1:21" x14ac:dyDescent="0.3">
      <c r="A306" t="s">
        <v>886</v>
      </c>
      <c r="B306" s="6" t="str">
        <f>HYPERLINK("http://data.ntsb.gov/carol-repgen/api/Aviation/ReportMain/GenerateNewestReport/99364/pdf","AccidentReport")</f>
        <v>AccidentReport</v>
      </c>
      <c r="C306" t="s">
        <v>884</v>
      </c>
      <c r="D306" t="s">
        <v>887</v>
      </c>
      <c r="E306" t="s">
        <v>390</v>
      </c>
      <c r="F306" t="s">
        <v>88</v>
      </c>
      <c r="G306">
        <v>40.947498000000003</v>
      </c>
      <c r="H306">
        <v>-74.314445000000006</v>
      </c>
      <c r="K306" t="s">
        <v>89</v>
      </c>
      <c r="L306">
        <v>1</v>
      </c>
      <c r="M306" t="s">
        <v>90</v>
      </c>
      <c r="N306" t="s">
        <v>100</v>
      </c>
      <c r="O306" t="s">
        <v>92</v>
      </c>
      <c r="S306" t="s">
        <v>93</v>
      </c>
      <c r="T306" t="s">
        <v>102</v>
      </c>
      <c r="U306" t="s">
        <v>103</v>
      </c>
    </row>
    <row r="307" spans="1:21" x14ac:dyDescent="0.3">
      <c r="A307" t="s">
        <v>888</v>
      </c>
      <c r="B307" s="6" t="str">
        <f>HYPERLINK("http://data.ntsb.gov/carol-repgen/api/Aviation/ReportMain/GenerateNewestReport/99369/pdf","AccidentReport")</f>
        <v>AccidentReport</v>
      </c>
      <c r="C307" t="s">
        <v>889</v>
      </c>
      <c r="D307" t="s">
        <v>890</v>
      </c>
      <c r="E307" t="s">
        <v>122</v>
      </c>
      <c r="F307" t="s">
        <v>88</v>
      </c>
      <c r="G307">
        <v>46.491390000000003</v>
      </c>
      <c r="H307">
        <v>-116.27694700000001</v>
      </c>
      <c r="K307" t="s">
        <v>89</v>
      </c>
      <c r="L307">
        <v>1</v>
      </c>
      <c r="M307" t="s">
        <v>90</v>
      </c>
      <c r="N307" t="s">
        <v>91</v>
      </c>
      <c r="O307" t="s">
        <v>92</v>
      </c>
      <c r="S307" t="s">
        <v>108</v>
      </c>
      <c r="T307" t="s">
        <v>109</v>
      </c>
      <c r="U307" t="s">
        <v>95</v>
      </c>
    </row>
    <row r="308" spans="1:21" x14ac:dyDescent="0.3">
      <c r="A308" t="s">
        <v>891</v>
      </c>
      <c r="B308" s="6" t="str">
        <f>HYPERLINK("http://data.ntsb.gov/carol-repgen/api/Aviation/ReportMain/GenerateNewestReport/99371/pdf","AccidentReport")</f>
        <v>AccidentReport</v>
      </c>
      <c r="C308" t="s">
        <v>889</v>
      </c>
      <c r="D308" t="s">
        <v>892</v>
      </c>
      <c r="E308" t="s">
        <v>106</v>
      </c>
      <c r="F308" t="s">
        <v>88</v>
      </c>
      <c r="G308">
        <v>38.257499000000003</v>
      </c>
      <c r="H308">
        <v>-122.43416499999999</v>
      </c>
      <c r="K308" t="s">
        <v>155</v>
      </c>
      <c r="L308">
        <v>1</v>
      </c>
      <c r="M308" t="s">
        <v>90</v>
      </c>
      <c r="N308" t="s">
        <v>893</v>
      </c>
      <c r="O308" t="s">
        <v>92</v>
      </c>
      <c r="S308" t="s">
        <v>108</v>
      </c>
      <c r="T308" t="s">
        <v>499</v>
      </c>
      <c r="U308" t="s">
        <v>95</v>
      </c>
    </row>
    <row r="309" spans="1:21" x14ac:dyDescent="0.3">
      <c r="A309" t="s">
        <v>894</v>
      </c>
      <c r="B309" s="6" t="str">
        <f>HYPERLINK("http://data.ntsb.gov/carol-repgen/api/Aviation/ReportMain/GenerateNewestReport/99394/pdf","AccidentReport")</f>
        <v>AccidentReport</v>
      </c>
      <c r="C309" t="s">
        <v>889</v>
      </c>
      <c r="D309" t="s">
        <v>895</v>
      </c>
      <c r="E309" t="s">
        <v>233</v>
      </c>
      <c r="F309" t="s">
        <v>88</v>
      </c>
      <c r="G309">
        <v>61.128611999999997</v>
      </c>
      <c r="H309">
        <v>-142.41528299999999</v>
      </c>
      <c r="K309" t="s">
        <v>89</v>
      </c>
      <c r="L309">
        <v>1</v>
      </c>
      <c r="M309" t="s">
        <v>90</v>
      </c>
      <c r="N309" t="s">
        <v>91</v>
      </c>
      <c r="O309" t="s">
        <v>92</v>
      </c>
      <c r="S309" t="s">
        <v>108</v>
      </c>
      <c r="T309" t="s">
        <v>499</v>
      </c>
      <c r="U309" t="s">
        <v>95</v>
      </c>
    </row>
    <row r="310" spans="1:21" x14ac:dyDescent="0.3">
      <c r="A310" t="s">
        <v>896</v>
      </c>
      <c r="B310" s="6" t="str">
        <f>HYPERLINK("http://data.ntsb.gov/carol-repgen/api/Aviation/ReportMain/GenerateNewestReport/99490/pdf","AccidentReport")</f>
        <v>AccidentReport</v>
      </c>
      <c r="C310" t="s">
        <v>889</v>
      </c>
      <c r="D310" t="s">
        <v>897</v>
      </c>
      <c r="E310" t="s">
        <v>290</v>
      </c>
      <c r="F310" t="s">
        <v>88</v>
      </c>
      <c r="G310">
        <v>38.966945000000003</v>
      </c>
      <c r="H310">
        <v>-117.182777</v>
      </c>
      <c r="K310" t="s">
        <v>89</v>
      </c>
      <c r="L310">
        <v>1</v>
      </c>
      <c r="M310" t="s">
        <v>90</v>
      </c>
      <c r="N310" t="s">
        <v>91</v>
      </c>
      <c r="O310" t="s">
        <v>92</v>
      </c>
      <c r="S310" t="s">
        <v>108</v>
      </c>
      <c r="T310" t="s">
        <v>102</v>
      </c>
      <c r="U310" t="s">
        <v>248</v>
      </c>
    </row>
    <row r="311" spans="1:21" x14ac:dyDescent="0.3">
      <c r="A311" t="s">
        <v>898</v>
      </c>
      <c r="B311" s="6" t="str">
        <f>HYPERLINK("http://data.ntsb.gov/carol-repgen/api/Aviation/ReportMain/GenerateNewestReport/99624/pdf","AccidentReport")</f>
        <v>AccidentReport</v>
      </c>
      <c r="C311" t="s">
        <v>889</v>
      </c>
      <c r="D311" t="s">
        <v>899</v>
      </c>
      <c r="E311" t="s">
        <v>176</v>
      </c>
      <c r="F311" t="s">
        <v>88</v>
      </c>
      <c r="G311">
        <v>47.974722999999997</v>
      </c>
      <c r="H311">
        <v>-117.43055699999999</v>
      </c>
      <c r="K311" t="s">
        <v>89</v>
      </c>
      <c r="L311">
        <v>1</v>
      </c>
      <c r="M311" t="s">
        <v>90</v>
      </c>
      <c r="N311" t="s">
        <v>91</v>
      </c>
      <c r="O311" t="s">
        <v>92</v>
      </c>
      <c r="S311" t="s">
        <v>108</v>
      </c>
      <c r="T311" t="s">
        <v>139</v>
      </c>
      <c r="U311" t="s">
        <v>150</v>
      </c>
    </row>
    <row r="312" spans="1:21" x14ac:dyDescent="0.3">
      <c r="A312" t="s">
        <v>900</v>
      </c>
      <c r="B312" s="6" t="str">
        <f>HYPERLINK("http://data.ntsb.gov/carol-repgen/api/Aviation/ReportMain/GenerateNewestReport/99368/pdf","AccidentReport")</f>
        <v>AccidentReport</v>
      </c>
      <c r="C312" t="s">
        <v>901</v>
      </c>
      <c r="D312" t="s">
        <v>902</v>
      </c>
      <c r="E312" t="s">
        <v>138</v>
      </c>
      <c r="F312" t="s">
        <v>88</v>
      </c>
      <c r="G312">
        <v>43.564444999999999</v>
      </c>
      <c r="H312">
        <v>-86.418052000000003</v>
      </c>
      <c r="I312">
        <v>1</v>
      </c>
      <c r="K312" t="s">
        <v>107</v>
      </c>
      <c r="L312">
        <v>1</v>
      </c>
      <c r="M312" t="s">
        <v>147</v>
      </c>
      <c r="N312" t="s">
        <v>748</v>
      </c>
      <c r="O312" t="s">
        <v>92</v>
      </c>
      <c r="S312" t="s">
        <v>108</v>
      </c>
      <c r="T312" t="s">
        <v>102</v>
      </c>
      <c r="U312" t="s">
        <v>103</v>
      </c>
    </row>
    <row r="313" spans="1:21" x14ac:dyDescent="0.3">
      <c r="A313" t="s">
        <v>903</v>
      </c>
      <c r="B313" s="6" t="str">
        <f>HYPERLINK("http://data.ntsb.gov/carol-repgen/api/Aviation/ReportMain/GenerateNewestReport/99374/pdf","AccidentReport")</f>
        <v>AccidentReport</v>
      </c>
      <c r="C313" t="s">
        <v>901</v>
      </c>
      <c r="D313" t="s">
        <v>904</v>
      </c>
      <c r="E313" t="s">
        <v>536</v>
      </c>
      <c r="F313" t="s">
        <v>88</v>
      </c>
      <c r="G313">
        <v>38.815834000000002</v>
      </c>
      <c r="H313">
        <v>-76.383055999999996</v>
      </c>
      <c r="I313">
        <v>2</v>
      </c>
      <c r="K313" t="s">
        <v>107</v>
      </c>
      <c r="L313">
        <v>1</v>
      </c>
      <c r="M313" t="s">
        <v>147</v>
      </c>
      <c r="N313" t="s">
        <v>100</v>
      </c>
      <c r="O313" t="s">
        <v>92</v>
      </c>
      <c r="S313" t="s">
        <v>108</v>
      </c>
      <c r="T313" t="s">
        <v>279</v>
      </c>
      <c r="U313" t="s">
        <v>103</v>
      </c>
    </row>
    <row r="314" spans="1:21" x14ac:dyDescent="0.3">
      <c r="A314" t="s">
        <v>905</v>
      </c>
      <c r="B314" s="6" t="str">
        <f>HYPERLINK("http://data.ntsb.gov/carol-repgen/api/Aviation/ReportMain/GenerateNewestReport/99380/pdf","AccidentReport")</f>
        <v>AccidentReport</v>
      </c>
      <c r="C314" t="s">
        <v>901</v>
      </c>
      <c r="D314" t="s">
        <v>906</v>
      </c>
      <c r="E314" t="s">
        <v>87</v>
      </c>
      <c r="F314" t="s">
        <v>88</v>
      </c>
      <c r="G314">
        <v>44.328887000000002</v>
      </c>
      <c r="H314">
        <v>-93.313056000000003</v>
      </c>
      <c r="K314" t="s">
        <v>89</v>
      </c>
      <c r="L314">
        <v>1</v>
      </c>
      <c r="M314" t="s">
        <v>90</v>
      </c>
      <c r="N314" t="s">
        <v>91</v>
      </c>
      <c r="O314" t="s">
        <v>92</v>
      </c>
      <c r="S314" t="s">
        <v>108</v>
      </c>
      <c r="T314" t="s">
        <v>109</v>
      </c>
      <c r="U314" t="s">
        <v>95</v>
      </c>
    </row>
    <row r="315" spans="1:21" x14ac:dyDescent="0.3">
      <c r="A315" t="s">
        <v>907</v>
      </c>
      <c r="B315" s="6" t="str">
        <f>HYPERLINK("http://data.ntsb.gov/carol-repgen/api/Aviation/ReportMain/GenerateNewestReport/99382/pdf","AccidentReport")</f>
        <v>AccidentReport</v>
      </c>
      <c r="C315" t="s">
        <v>901</v>
      </c>
      <c r="D315" t="s">
        <v>908</v>
      </c>
      <c r="E315" t="s">
        <v>349</v>
      </c>
      <c r="F315" t="s">
        <v>88</v>
      </c>
      <c r="G315">
        <v>41.453887000000002</v>
      </c>
      <c r="H315">
        <v>-87.006941999999995</v>
      </c>
      <c r="K315" t="s">
        <v>89</v>
      </c>
      <c r="L315">
        <v>1</v>
      </c>
      <c r="M315" t="s">
        <v>90</v>
      </c>
      <c r="N315" t="s">
        <v>91</v>
      </c>
      <c r="O315" t="s">
        <v>92</v>
      </c>
      <c r="S315" t="s">
        <v>108</v>
      </c>
      <c r="T315" t="s">
        <v>94</v>
      </c>
      <c r="U315" t="s">
        <v>248</v>
      </c>
    </row>
    <row r="316" spans="1:21" x14ac:dyDescent="0.3">
      <c r="A316" t="s">
        <v>909</v>
      </c>
      <c r="B316" s="6" t="str">
        <f>HYPERLINK("http://data.ntsb.gov/carol-repgen/api/Aviation/ReportMain/GenerateNewestReport/99386/pdf","AccidentReport")</f>
        <v>AccidentReport</v>
      </c>
      <c r="C316" t="s">
        <v>901</v>
      </c>
      <c r="D316" t="s">
        <v>910</v>
      </c>
      <c r="E316" t="s">
        <v>112</v>
      </c>
      <c r="F316" t="s">
        <v>88</v>
      </c>
      <c r="G316">
        <v>48.310554000000003</v>
      </c>
      <c r="H316">
        <v>-114.256111</v>
      </c>
      <c r="K316" t="s">
        <v>89</v>
      </c>
      <c r="L316">
        <v>1</v>
      </c>
      <c r="M316" t="s">
        <v>90</v>
      </c>
      <c r="N316" t="s">
        <v>91</v>
      </c>
      <c r="O316" t="s">
        <v>92</v>
      </c>
      <c r="S316" t="s">
        <v>108</v>
      </c>
      <c r="T316" t="s">
        <v>94</v>
      </c>
      <c r="U316" t="s">
        <v>95</v>
      </c>
    </row>
    <row r="317" spans="1:21" x14ac:dyDescent="0.3">
      <c r="A317" t="s">
        <v>911</v>
      </c>
      <c r="B317" s="6" t="str">
        <f>HYPERLINK("http://data.ntsb.gov/carol-repgen/api/Aviation/ReportMain/GenerateNewestReport/99393/pdf","AccidentReport")</f>
        <v>AccidentReport</v>
      </c>
      <c r="C317" t="s">
        <v>901</v>
      </c>
      <c r="D317" t="s">
        <v>912</v>
      </c>
      <c r="E317" t="s">
        <v>106</v>
      </c>
      <c r="F317" t="s">
        <v>88</v>
      </c>
      <c r="G317">
        <v>34.220275000000001</v>
      </c>
      <c r="H317">
        <v>-119.22389200000001</v>
      </c>
      <c r="J317">
        <v>1</v>
      </c>
      <c r="K317" t="s">
        <v>99</v>
      </c>
      <c r="L317">
        <v>1</v>
      </c>
      <c r="M317" t="s">
        <v>90</v>
      </c>
      <c r="N317" t="s">
        <v>100</v>
      </c>
      <c r="O317" t="s">
        <v>169</v>
      </c>
      <c r="S317" t="s">
        <v>515</v>
      </c>
      <c r="T317" t="s">
        <v>229</v>
      </c>
      <c r="U317" t="s">
        <v>103</v>
      </c>
    </row>
    <row r="318" spans="1:21" x14ac:dyDescent="0.3">
      <c r="A318" t="s">
        <v>913</v>
      </c>
      <c r="B318" s="6" t="str">
        <f>HYPERLINK("http://data.ntsb.gov/carol-repgen/api/Aviation/ReportMain/GenerateNewestReport/99397/pdf","AccidentReport")</f>
        <v>AccidentReport</v>
      </c>
      <c r="C318" t="s">
        <v>901</v>
      </c>
      <c r="D318" t="s">
        <v>405</v>
      </c>
      <c r="E318" t="s">
        <v>98</v>
      </c>
      <c r="F318" t="s">
        <v>88</v>
      </c>
      <c r="G318">
        <v>28.063054999999999</v>
      </c>
      <c r="H318">
        <v>-81.753333999999995</v>
      </c>
      <c r="K318" t="s">
        <v>89</v>
      </c>
      <c r="L318">
        <v>1</v>
      </c>
      <c r="M318" t="s">
        <v>90</v>
      </c>
      <c r="N318" t="s">
        <v>91</v>
      </c>
      <c r="O318" t="s">
        <v>92</v>
      </c>
      <c r="S318" t="s">
        <v>93</v>
      </c>
      <c r="T318" t="s">
        <v>159</v>
      </c>
      <c r="U318" t="s">
        <v>119</v>
      </c>
    </row>
    <row r="319" spans="1:21" x14ac:dyDescent="0.3">
      <c r="A319" t="s">
        <v>914</v>
      </c>
      <c r="B319" s="6" t="str">
        <f>HYPERLINK("http://data.ntsb.gov/carol-repgen/api/Aviation/ReportMain/GenerateNewestReport/99399/pdf","AccidentReport")</f>
        <v>AccidentReport</v>
      </c>
      <c r="C319" t="s">
        <v>901</v>
      </c>
      <c r="D319" t="s">
        <v>289</v>
      </c>
      <c r="E319" t="s">
        <v>290</v>
      </c>
      <c r="F319" t="s">
        <v>88</v>
      </c>
      <c r="G319">
        <v>39.499167999999997</v>
      </c>
      <c r="H319">
        <v>-119.768058</v>
      </c>
      <c r="K319" t="s">
        <v>89</v>
      </c>
      <c r="L319">
        <v>1</v>
      </c>
      <c r="M319" t="s">
        <v>90</v>
      </c>
      <c r="N319" t="s">
        <v>91</v>
      </c>
      <c r="O319" t="s">
        <v>92</v>
      </c>
      <c r="S319" t="s">
        <v>108</v>
      </c>
      <c r="T319" t="s">
        <v>94</v>
      </c>
      <c r="U319" t="s">
        <v>95</v>
      </c>
    </row>
    <row r="320" spans="1:21" x14ac:dyDescent="0.3">
      <c r="A320" t="s">
        <v>915</v>
      </c>
      <c r="B320" s="6" t="str">
        <f>HYPERLINK("http://data.ntsb.gov/carol-repgen/api/Aviation/ReportMain/GenerateNewestReport/99372/pdf","AccidentReport")</f>
        <v>AccidentReport</v>
      </c>
      <c r="C320" t="s">
        <v>916</v>
      </c>
      <c r="D320" t="s">
        <v>917</v>
      </c>
      <c r="E320" t="s">
        <v>128</v>
      </c>
      <c r="F320" t="s">
        <v>88</v>
      </c>
      <c r="G320">
        <v>34.939998000000003</v>
      </c>
      <c r="H320">
        <v>-104.667778</v>
      </c>
      <c r="I320">
        <v>2</v>
      </c>
      <c r="K320" t="s">
        <v>107</v>
      </c>
      <c r="L320">
        <v>1</v>
      </c>
      <c r="M320" t="s">
        <v>90</v>
      </c>
      <c r="N320" t="s">
        <v>91</v>
      </c>
      <c r="O320" t="s">
        <v>92</v>
      </c>
      <c r="S320" t="s">
        <v>108</v>
      </c>
      <c r="T320" t="s">
        <v>102</v>
      </c>
      <c r="U320" t="s">
        <v>103</v>
      </c>
    </row>
    <row r="321" spans="1:21" x14ac:dyDescent="0.3">
      <c r="A321" t="s">
        <v>918</v>
      </c>
      <c r="B321" s="6" t="str">
        <f>HYPERLINK("http://data.ntsb.gov/carol-repgen/api/Aviation/ReportMain/GenerateNewestReport/99370/pdf","AccidentReport")</f>
        <v>AccidentReport</v>
      </c>
      <c r="C321" t="s">
        <v>916</v>
      </c>
      <c r="D321" t="s">
        <v>919</v>
      </c>
      <c r="E321" t="s">
        <v>349</v>
      </c>
      <c r="F321" t="s">
        <v>88</v>
      </c>
      <c r="G321">
        <v>40.108612000000001</v>
      </c>
      <c r="H321">
        <v>-85.613051999999996</v>
      </c>
      <c r="J321">
        <v>1</v>
      </c>
      <c r="K321" t="s">
        <v>99</v>
      </c>
      <c r="L321">
        <v>1</v>
      </c>
      <c r="M321" t="s">
        <v>90</v>
      </c>
      <c r="N321" t="s">
        <v>91</v>
      </c>
      <c r="O321" t="s">
        <v>92</v>
      </c>
      <c r="S321" t="s">
        <v>108</v>
      </c>
      <c r="T321" t="s">
        <v>102</v>
      </c>
      <c r="U321" t="s">
        <v>150</v>
      </c>
    </row>
    <row r="322" spans="1:21" x14ac:dyDescent="0.3">
      <c r="A322" t="s">
        <v>920</v>
      </c>
      <c r="B322" s="6" t="str">
        <f>HYPERLINK("http://data.ntsb.gov/carol-repgen/api/Aviation/ReportMain/GenerateNewestReport/99377/pdf","AccidentReport")</f>
        <v>AccidentReport</v>
      </c>
      <c r="C322" t="s">
        <v>916</v>
      </c>
      <c r="D322" t="s">
        <v>921</v>
      </c>
      <c r="E322" t="s">
        <v>290</v>
      </c>
      <c r="F322" t="s">
        <v>88</v>
      </c>
      <c r="G322">
        <v>35.793608999999996</v>
      </c>
      <c r="H322">
        <v>-115.62666299999999</v>
      </c>
      <c r="K322" t="s">
        <v>89</v>
      </c>
      <c r="L322">
        <v>1</v>
      </c>
      <c r="M322" t="s">
        <v>90</v>
      </c>
      <c r="N322" t="s">
        <v>91</v>
      </c>
      <c r="O322" t="s">
        <v>92</v>
      </c>
      <c r="S322" t="s">
        <v>93</v>
      </c>
      <c r="T322" t="s">
        <v>109</v>
      </c>
      <c r="U322" t="s">
        <v>95</v>
      </c>
    </row>
    <row r="323" spans="1:21" x14ac:dyDescent="0.3">
      <c r="A323" t="s">
        <v>922</v>
      </c>
      <c r="B323" s="6" t="str">
        <f>HYPERLINK("http://data.ntsb.gov/carol-repgen/api/Aviation/ReportMain/GenerateNewestReport/99384/pdf","AccidentReport")</f>
        <v>AccidentReport</v>
      </c>
      <c r="C323" t="s">
        <v>916</v>
      </c>
      <c r="D323" t="s">
        <v>868</v>
      </c>
      <c r="E323" t="s">
        <v>349</v>
      </c>
      <c r="F323" t="s">
        <v>88</v>
      </c>
      <c r="G323">
        <v>40.486946000000003</v>
      </c>
      <c r="H323">
        <v>-85.683609000000004</v>
      </c>
      <c r="K323" t="s">
        <v>155</v>
      </c>
      <c r="L323">
        <v>1</v>
      </c>
      <c r="M323" t="s">
        <v>147</v>
      </c>
      <c r="N323" t="s">
        <v>91</v>
      </c>
      <c r="O323" t="s">
        <v>92</v>
      </c>
      <c r="S323" t="s">
        <v>108</v>
      </c>
      <c r="T323" t="s">
        <v>102</v>
      </c>
      <c r="U323" t="s">
        <v>119</v>
      </c>
    </row>
    <row r="324" spans="1:21" x14ac:dyDescent="0.3">
      <c r="A324" t="s">
        <v>923</v>
      </c>
      <c r="B324" s="6" t="str">
        <f>HYPERLINK("http://data.ntsb.gov/carol-repgen/api/Aviation/ReportMain/GenerateNewestReport/99398/pdf","AccidentReport")</f>
        <v>AccidentReport</v>
      </c>
      <c r="C324" t="s">
        <v>916</v>
      </c>
      <c r="D324" t="s">
        <v>924</v>
      </c>
      <c r="E324" t="s">
        <v>106</v>
      </c>
      <c r="F324" t="s">
        <v>88</v>
      </c>
      <c r="G324">
        <v>39.189444999999999</v>
      </c>
      <c r="H324">
        <v>-121.70860999999999</v>
      </c>
      <c r="K324" t="s">
        <v>89</v>
      </c>
      <c r="L324">
        <v>1</v>
      </c>
      <c r="M324" t="s">
        <v>90</v>
      </c>
      <c r="N324" t="s">
        <v>91</v>
      </c>
      <c r="O324" t="s">
        <v>169</v>
      </c>
      <c r="S324" t="s">
        <v>515</v>
      </c>
      <c r="T324" t="s">
        <v>159</v>
      </c>
      <c r="U324" t="s">
        <v>103</v>
      </c>
    </row>
    <row r="325" spans="1:21" x14ac:dyDescent="0.3">
      <c r="A325" t="s">
        <v>925</v>
      </c>
      <c r="B325" s="6" t="str">
        <f>HYPERLINK("http://data.ntsb.gov/carol-repgen/api/Aviation/ReportMain/GenerateNewestReport/99400/pdf","AccidentReport")</f>
        <v>AccidentReport</v>
      </c>
      <c r="C325" t="s">
        <v>916</v>
      </c>
      <c r="D325" t="s">
        <v>926</v>
      </c>
      <c r="E325" t="s">
        <v>290</v>
      </c>
      <c r="F325" t="s">
        <v>88</v>
      </c>
      <c r="G325">
        <v>39.000556000000003</v>
      </c>
      <c r="H325">
        <v>-119.751113</v>
      </c>
      <c r="K325" t="s">
        <v>89</v>
      </c>
      <c r="L325">
        <v>1</v>
      </c>
      <c r="M325" t="s">
        <v>90</v>
      </c>
      <c r="N325" t="s">
        <v>91</v>
      </c>
      <c r="O325" t="s">
        <v>92</v>
      </c>
      <c r="S325" t="s">
        <v>108</v>
      </c>
      <c r="T325" t="s">
        <v>109</v>
      </c>
      <c r="U325" t="s">
        <v>95</v>
      </c>
    </row>
    <row r="326" spans="1:21" x14ac:dyDescent="0.3">
      <c r="A326" t="s">
        <v>927</v>
      </c>
      <c r="B326" s="6" t="str">
        <f>HYPERLINK("http://data.ntsb.gov/carol-repgen/api/Aviation/ReportMain/GenerateNewestReport/99402/pdf","AccidentReport")</f>
        <v>AccidentReport</v>
      </c>
      <c r="C326" t="s">
        <v>916</v>
      </c>
      <c r="D326" t="s">
        <v>928</v>
      </c>
      <c r="E326" t="s">
        <v>125</v>
      </c>
      <c r="F326" t="s">
        <v>88</v>
      </c>
      <c r="G326">
        <v>32.538333000000002</v>
      </c>
      <c r="H326">
        <v>-111.423614</v>
      </c>
      <c r="K326" t="s">
        <v>89</v>
      </c>
      <c r="L326">
        <v>1</v>
      </c>
      <c r="M326" t="s">
        <v>90</v>
      </c>
      <c r="N326" t="s">
        <v>91</v>
      </c>
      <c r="O326" t="s">
        <v>92</v>
      </c>
      <c r="S326" t="s">
        <v>108</v>
      </c>
      <c r="T326" t="s">
        <v>159</v>
      </c>
      <c r="U326" t="s">
        <v>186</v>
      </c>
    </row>
    <row r="327" spans="1:21" x14ac:dyDescent="0.3">
      <c r="A327" t="s">
        <v>929</v>
      </c>
      <c r="B327" s="6" t="str">
        <f>HYPERLINK("http://data.ntsb.gov/carol-repgen/api/Aviation/ReportMain/GenerateNewestReport/99387/pdf","AccidentReport")</f>
        <v>AccidentReport</v>
      </c>
      <c r="C327" t="s">
        <v>930</v>
      </c>
      <c r="D327" t="s">
        <v>931</v>
      </c>
      <c r="E327" t="s">
        <v>786</v>
      </c>
      <c r="F327" t="s">
        <v>88</v>
      </c>
      <c r="G327">
        <v>30.432777000000002</v>
      </c>
      <c r="H327">
        <v>-87.702224000000001</v>
      </c>
      <c r="I327">
        <v>1</v>
      </c>
      <c r="J327">
        <v>1</v>
      </c>
      <c r="K327" t="s">
        <v>107</v>
      </c>
      <c r="L327">
        <v>1</v>
      </c>
      <c r="M327" t="s">
        <v>147</v>
      </c>
      <c r="N327" t="s">
        <v>91</v>
      </c>
      <c r="O327" t="s">
        <v>92</v>
      </c>
      <c r="S327" t="s">
        <v>93</v>
      </c>
      <c r="T327" t="s">
        <v>102</v>
      </c>
      <c r="U327" t="s">
        <v>150</v>
      </c>
    </row>
    <row r="328" spans="1:21" x14ac:dyDescent="0.3">
      <c r="A328" t="s">
        <v>932</v>
      </c>
      <c r="B328" s="6" t="str">
        <f>HYPERLINK("http://data.ntsb.gov/carol-repgen/api/Aviation/ReportMain/GenerateNewestReport/99383/pdf","AccidentReport")</f>
        <v>AccidentReport</v>
      </c>
      <c r="C328" t="s">
        <v>930</v>
      </c>
      <c r="D328" t="s">
        <v>933</v>
      </c>
      <c r="E328" t="s">
        <v>203</v>
      </c>
      <c r="F328" t="s">
        <v>88</v>
      </c>
      <c r="G328">
        <v>43.880553999999997</v>
      </c>
      <c r="H328">
        <v>-88.710555999999997</v>
      </c>
      <c r="K328" t="s">
        <v>89</v>
      </c>
      <c r="L328">
        <v>1</v>
      </c>
      <c r="M328" t="s">
        <v>90</v>
      </c>
      <c r="N328" t="s">
        <v>91</v>
      </c>
      <c r="O328" t="s">
        <v>92</v>
      </c>
      <c r="S328" t="s">
        <v>108</v>
      </c>
      <c r="T328" t="s">
        <v>934</v>
      </c>
      <c r="U328" t="s">
        <v>186</v>
      </c>
    </row>
    <row r="329" spans="1:21" x14ac:dyDescent="0.3">
      <c r="A329" t="s">
        <v>935</v>
      </c>
      <c r="B329" s="6" t="str">
        <f>HYPERLINK("http://data.ntsb.gov/carol-repgen/api/Aviation/ReportMain/GenerateNewestReport/99385/pdf","AccidentReport")</f>
        <v>AccidentReport</v>
      </c>
      <c r="C329" t="s">
        <v>930</v>
      </c>
      <c r="D329" t="s">
        <v>936</v>
      </c>
      <c r="E329" t="s">
        <v>106</v>
      </c>
      <c r="F329" t="s">
        <v>88</v>
      </c>
      <c r="G329">
        <v>38.954723000000001</v>
      </c>
      <c r="H329">
        <v>-121.081665</v>
      </c>
      <c r="K329" t="s">
        <v>89</v>
      </c>
      <c r="L329">
        <v>1</v>
      </c>
      <c r="M329" t="s">
        <v>90</v>
      </c>
      <c r="N329" t="s">
        <v>91</v>
      </c>
      <c r="O329" t="s">
        <v>92</v>
      </c>
      <c r="S329" t="s">
        <v>93</v>
      </c>
      <c r="T329" t="s">
        <v>102</v>
      </c>
      <c r="U329" t="s">
        <v>95</v>
      </c>
    </row>
    <row r="330" spans="1:21" x14ac:dyDescent="0.3">
      <c r="A330" t="s">
        <v>937</v>
      </c>
      <c r="B330" s="6" t="str">
        <f>HYPERLINK("http://data.ntsb.gov/carol-repgen/api/Aviation/ReportMain/GenerateNewestReport/99392/pdf","AccidentReport")</f>
        <v>AccidentReport</v>
      </c>
      <c r="C330" t="s">
        <v>930</v>
      </c>
      <c r="D330" t="s">
        <v>938</v>
      </c>
      <c r="E330" t="s">
        <v>154</v>
      </c>
      <c r="F330" t="s">
        <v>88</v>
      </c>
      <c r="G330">
        <v>33.202219999999997</v>
      </c>
      <c r="H330">
        <v>-97.198059000000001</v>
      </c>
      <c r="K330" t="s">
        <v>89</v>
      </c>
      <c r="L330">
        <v>1</v>
      </c>
      <c r="M330" t="s">
        <v>90</v>
      </c>
      <c r="N330" t="s">
        <v>100</v>
      </c>
      <c r="O330" t="s">
        <v>92</v>
      </c>
      <c r="S330" t="s">
        <v>93</v>
      </c>
      <c r="U330" t="s">
        <v>103</v>
      </c>
    </row>
    <row r="331" spans="1:21" x14ac:dyDescent="0.3">
      <c r="A331" t="s">
        <v>939</v>
      </c>
      <c r="B331" s="6" t="str">
        <f>HYPERLINK("http://data.ntsb.gov/carol-repgen/api/Aviation/ReportMain/GenerateNewestReport/99517/pdf","AccidentReport")</f>
        <v>AccidentReport</v>
      </c>
      <c r="C331" t="s">
        <v>930</v>
      </c>
      <c r="D331" t="s">
        <v>940</v>
      </c>
      <c r="E331" t="s">
        <v>651</v>
      </c>
      <c r="F331" t="s">
        <v>88</v>
      </c>
      <c r="G331">
        <v>42.909998999999999</v>
      </c>
      <c r="H331">
        <v>-77.330000999999996</v>
      </c>
      <c r="K331" t="s">
        <v>89</v>
      </c>
      <c r="L331">
        <v>1</v>
      </c>
      <c r="M331" t="s">
        <v>90</v>
      </c>
      <c r="N331" t="s">
        <v>91</v>
      </c>
      <c r="O331" t="s">
        <v>92</v>
      </c>
      <c r="S331" t="s">
        <v>108</v>
      </c>
      <c r="T331" t="s">
        <v>94</v>
      </c>
      <c r="U331" t="s">
        <v>95</v>
      </c>
    </row>
    <row r="332" spans="1:21" x14ac:dyDescent="0.3">
      <c r="A332" t="s">
        <v>941</v>
      </c>
      <c r="B332" s="6" t="str">
        <f>HYPERLINK("http://data.ntsb.gov/carol-repgen/api/Aviation/ReportMain/GenerateNewestReport/99378/pdf","AccidentReport")</f>
        <v>AccidentReport</v>
      </c>
      <c r="C332" t="s">
        <v>930</v>
      </c>
      <c r="D332" t="s">
        <v>942</v>
      </c>
      <c r="E332" t="s">
        <v>176</v>
      </c>
      <c r="F332" t="s">
        <v>88</v>
      </c>
      <c r="G332">
        <v>47.866489000000001</v>
      </c>
      <c r="H332">
        <v>-119.94173000000001</v>
      </c>
      <c r="I332">
        <v>1</v>
      </c>
      <c r="K332" t="s">
        <v>107</v>
      </c>
      <c r="L332">
        <v>1</v>
      </c>
      <c r="M332" t="s">
        <v>147</v>
      </c>
      <c r="N332" t="s">
        <v>91</v>
      </c>
      <c r="O332" t="s">
        <v>92</v>
      </c>
      <c r="S332" t="s">
        <v>108</v>
      </c>
      <c r="T332" t="s">
        <v>102</v>
      </c>
      <c r="U332" t="s">
        <v>150</v>
      </c>
    </row>
    <row r="333" spans="1:21" x14ac:dyDescent="0.3">
      <c r="A333" t="s">
        <v>943</v>
      </c>
      <c r="B333" s="6" t="str">
        <f>HYPERLINK("http://data.ntsb.gov/carol-repgen/api/Aviation/ReportMain/GenerateNewestReport/99401/pdf","AccidentReport")</f>
        <v>AccidentReport</v>
      </c>
      <c r="C333" t="s">
        <v>944</v>
      </c>
      <c r="D333" t="s">
        <v>945</v>
      </c>
      <c r="E333" t="s">
        <v>641</v>
      </c>
      <c r="F333" t="s">
        <v>88</v>
      </c>
      <c r="G333">
        <v>33.626944999999999</v>
      </c>
      <c r="H333">
        <v>-90.374442999999999</v>
      </c>
      <c r="I333">
        <v>1</v>
      </c>
      <c r="K333" t="s">
        <v>107</v>
      </c>
      <c r="L333">
        <v>1</v>
      </c>
      <c r="M333" t="s">
        <v>90</v>
      </c>
      <c r="N333" t="s">
        <v>91</v>
      </c>
      <c r="O333" t="s">
        <v>92</v>
      </c>
      <c r="S333" t="s">
        <v>108</v>
      </c>
      <c r="T333" t="s">
        <v>102</v>
      </c>
      <c r="U333" t="s">
        <v>248</v>
      </c>
    </row>
    <row r="334" spans="1:21" x14ac:dyDescent="0.3">
      <c r="A334" t="s">
        <v>946</v>
      </c>
      <c r="B334" s="6" t="str">
        <f>HYPERLINK("http://data.ntsb.gov/carol-repgen/api/Aviation/ReportMain/GenerateNewestReport/99403/pdf","AccidentReport")</f>
        <v>AccidentReport</v>
      </c>
      <c r="C334" t="s">
        <v>944</v>
      </c>
      <c r="D334" t="s">
        <v>947</v>
      </c>
      <c r="E334" t="s">
        <v>290</v>
      </c>
      <c r="F334" t="s">
        <v>88</v>
      </c>
      <c r="G334">
        <v>35.936388999999998</v>
      </c>
      <c r="H334">
        <v>-114.854446</v>
      </c>
      <c r="J334">
        <v>1</v>
      </c>
      <c r="K334" t="s">
        <v>99</v>
      </c>
      <c r="L334">
        <v>1</v>
      </c>
      <c r="M334" t="s">
        <v>90</v>
      </c>
      <c r="N334" t="s">
        <v>91</v>
      </c>
      <c r="O334" t="s">
        <v>92</v>
      </c>
      <c r="S334" t="s">
        <v>108</v>
      </c>
      <c r="T334" t="s">
        <v>102</v>
      </c>
      <c r="U334" t="s">
        <v>119</v>
      </c>
    </row>
    <row r="335" spans="1:21" x14ac:dyDescent="0.3">
      <c r="A335" t="s">
        <v>948</v>
      </c>
      <c r="B335" s="6" t="str">
        <f>HYPERLINK("http://data.ntsb.gov/carol-repgen/api/Aviation/ReportMain/GenerateNewestReport/99405/pdf","AccidentReport")</f>
        <v>AccidentReport</v>
      </c>
      <c r="C335" t="s">
        <v>949</v>
      </c>
      <c r="D335" t="s">
        <v>950</v>
      </c>
      <c r="E335" t="s">
        <v>87</v>
      </c>
      <c r="F335" t="s">
        <v>88</v>
      </c>
      <c r="G335">
        <v>46.423332000000002</v>
      </c>
      <c r="H335">
        <v>-92.805555999999996</v>
      </c>
      <c r="I335">
        <v>1</v>
      </c>
      <c r="K335" t="s">
        <v>107</v>
      </c>
      <c r="L335">
        <v>1</v>
      </c>
      <c r="M335" t="s">
        <v>90</v>
      </c>
      <c r="N335" t="s">
        <v>91</v>
      </c>
      <c r="O335" t="s">
        <v>92</v>
      </c>
      <c r="S335" t="s">
        <v>173</v>
      </c>
      <c r="T335" t="s">
        <v>102</v>
      </c>
      <c r="U335" t="s">
        <v>150</v>
      </c>
    </row>
    <row r="336" spans="1:21" x14ac:dyDescent="0.3">
      <c r="A336" t="s">
        <v>951</v>
      </c>
      <c r="B336" s="6" t="str">
        <f>HYPERLINK("http://data.ntsb.gov/carol-repgen/api/Aviation/ReportMain/GenerateNewestReport/99408/pdf","AccidentReport")</f>
        <v>AccidentReport</v>
      </c>
      <c r="C336" t="s">
        <v>952</v>
      </c>
      <c r="D336" t="s">
        <v>953</v>
      </c>
      <c r="E336" t="s">
        <v>265</v>
      </c>
      <c r="F336" t="s">
        <v>88</v>
      </c>
      <c r="G336">
        <v>37.131942000000002</v>
      </c>
      <c r="H336">
        <v>-76.493056999999993</v>
      </c>
      <c r="K336" t="s">
        <v>89</v>
      </c>
      <c r="L336">
        <v>1</v>
      </c>
      <c r="M336" t="s">
        <v>90</v>
      </c>
      <c r="N336" t="s">
        <v>91</v>
      </c>
      <c r="O336" t="s">
        <v>295</v>
      </c>
      <c r="S336" t="s">
        <v>93</v>
      </c>
      <c r="T336" t="s">
        <v>109</v>
      </c>
      <c r="U336" t="s">
        <v>95</v>
      </c>
    </row>
    <row r="337" spans="1:21" x14ac:dyDescent="0.3">
      <c r="A337" t="s">
        <v>954</v>
      </c>
      <c r="B337" s="6" t="str">
        <f>HYPERLINK("http://data.ntsb.gov/carol-repgen/api/Aviation/ReportMain/GenerateNewestReport/99489/pdf","AccidentReport")</f>
        <v>AccidentReport</v>
      </c>
      <c r="C337" t="s">
        <v>952</v>
      </c>
      <c r="D337" t="s">
        <v>955</v>
      </c>
      <c r="E337" t="s">
        <v>206</v>
      </c>
      <c r="F337" t="s">
        <v>88</v>
      </c>
      <c r="G337">
        <v>35.213054</v>
      </c>
      <c r="H337">
        <v>-80.668052000000003</v>
      </c>
      <c r="K337" t="s">
        <v>89</v>
      </c>
      <c r="L337">
        <v>1</v>
      </c>
      <c r="M337" t="s">
        <v>90</v>
      </c>
      <c r="N337" t="s">
        <v>91</v>
      </c>
      <c r="O337" t="s">
        <v>92</v>
      </c>
      <c r="S337" t="s">
        <v>93</v>
      </c>
      <c r="T337" t="s">
        <v>109</v>
      </c>
      <c r="U337" t="s">
        <v>95</v>
      </c>
    </row>
    <row r="338" spans="1:21" x14ac:dyDescent="0.3">
      <c r="A338" t="s">
        <v>956</v>
      </c>
      <c r="B338" s="6" t="str">
        <f>HYPERLINK("http://data.ntsb.gov/carol-repgen/api/Aviation/ReportMain/GenerateNewestReport/99414/pdf","AccidentReport")</f>
        <v>AccidentReport</v>
      </c>
      <c r="C338" t="s">
        <v>957</v>
      </c>
      <c r="D338" t="s">
        <v>958</v>
      </c>
      <c r="E338" t="s">
        <v>251</v>
      </c>
      <c r="F338" t="s">
        <v>88</v>
      </c>
      <c r="G338">
        <v>43.239443999999999</v>
      </c>
      <c r="H338">
        <v>-123.355834</v>
      </c>
      <c r="K338" t="s">
        <v>89</v>
      </c>
      <c r="L338">
        <v>1</v>
      </c>
      <c r="M338" t="s">
        <v>90</v>
      </c>
      <c r="N338" t="s">
        <v>91</v>
      </c>
      <c r="O338" t="s">
        <v>92</v>
      </c>
      <c r="S338" t="s">
        <v>418</v>
      </c>
      <c r="T338" t="s">
        <v>94</v>
      </c>
      <c r="U338" t="s">
        <v>95</v>
      </c>
    </row>
    <row r="339" spans="1:21" x14ac:dyDescent="0.3">
      <c r="A339" t="s">
        <v>959</v>
      </c>
      <c r="B339" s="6" t="str">
        <f>HYPERLINK("http://data.ntsb.gov/carol-repgen/api/Aviation/ReportMain/GenerateNewestReport/99415/pdf","AccidentReport")</f>
        <v>AccidentReport</v>
      </c>
      <c r="C339" t="s">
        <v>957</v>
      </c>
      <c r="D339" t="s">
        <v>960</v>
      </c>
      <c r="E339" t="s">
        <v>290</v>
      </c>
      <c r="F339" t="s">
        <v>88</v>
      </c>
      <c r="G339">
        <v>36.240833000000002</v>
      </c>
      <c r="H339">
        <v>-114.175003</v>
      </c>
      <c r="K339" t="s">
        <v>89</v>
      </c>
      <c r="L339">
        <v>1</v>
      </c>
      <c r="M339" t="s">
        <v>90</v>
      </c>
      <c r="N339" t="s">
        <v>91</v>
      </c>
      <c r="O339" t="s">
        <v>92</v>
      </c>
      <c r="S339" t="s">
        <v>108</v>
      </c>
      <c r="T339" t="s">
        <v>94</v>
      </c>
      <c r="U339" t="s">
        <v>95</v>
      </c>
    </row>
    <row r="340" spans="1:21" x14ac:dyDescent="0.3">
      <c r="A340" t="s">
        <v>961</v>
      </c>
      <c r="B340" s="6" t="str">
        <f>HYPERLINK("http://data.ntsb.gov/carol-repgen/api/Aviation/ReportMain/GenerateNewestReport/99410/pdf","AccidentReport")</f>
        <v>AccidentReport</v>
      </c>
      <c r="C340" t="s">
        <v>962</v>
      </c>
      <c r="D340" t="s">
        <v>963</v>
      </c>
      <c r="E340" t="s">
        <v>154</v>
      </c>
      <c r="F340" t="s">
        <v>88</v>
      </c>
      <c r="G340">
        <v>29.516110999999999</v>
      </c>
      <c r="H340">
        <v>-96.397780999999995</v>
      </c>
      <c r="I340">
        <v>1</v>
      </c>
      <c r="K340" t="s">
        <v>107</v>
      </c>
      <c r="L340">
        <v>1</v>
      </c>
      <c r="M340" t="s">
        <v>147</v>
      </c>
      <c r="N340" t="s">
        <v>91</v>
      </c>
      <c r="O340" t="s">
        <v>169</v>
      </c>
      <c r="S340" t="s">
        <v>515</v>
      </c>
      <c r="T340" t="s">
        <v>279</v>
      </c>
      <c r="U340" t="s">
        <v>186</v>
      </c>
    </row>
    <row r="341" spans="1:21" x14ac:dyDescent="0.3">
      <c r="A341" t="s">
        <v>964</v>
      </c>
      <c r="B341" s="6" t="str">
        <f>HYPERLINK("http://data.ntsb.gov/carol-repgen/api/Aviation/ReportMain/GenerateNewestReport/99411/pdf","AccidentReport")</f>
        <v>AccidentReport</v>
      </c>
      <c r="C341" t="s">
        <v>962</v>
      </c>
      <c r="D341" t="s">
        <v>965</v>
      </c>
      <c r="E341" t="s">
        <v>98</v>
      </c>
      <c r="F341" t="s">
        <v>88</v>
      </c>
      <c r="G341">
        <v>26.202499</v>
      </c>
      <c r="H341">
        <v>-81.707221000000004</v>
      </c>
      <c r="I341">
        <v>1</v>
      </c>
      <c r="K341" t="s">
        <v>107</v>
      </c>
      <c r="L341">
        <v>1</v>
      </c>
      <c r="M341" t="s">
        <v>147</v>
      </c>
      <c r="N341" t="s">
        <v>91</v>
      </c>
      <c r="O341" t="s">
        <v>92</v>
      </c>
      <c r="S341" t="s">
        <v>108</v>
      </c>
      <c r="T341" t="s">
        <v>542</v>
      </c>
      <c r="U341" t="s">
        <v>119</v>
      </c>
    </row>
    <row r="342" spans="1:21" x14ac:dyDescent="0.3">
      <c r="A342" t="s">
        <v>966</v>
      </c>
      <c r="B342" s="6" t="str">
        <f>HYPERLINK("http://data.ntsb.gov/carol-repgen/api/Aviation/ReportMain/GenerateNewestReport/99416/pdf","AccidentReport")</f>
        <v>AccidentReport</v>
      </c>
      <c r="C342" t="s">
        <v>962</v>
      </c>
      <c r="D342" t="s">
        <v>967</v>
      </c>
      <c r="E342" t="s">
        <v>131</v>
      </c>
      <c r="F342" t="s">
        <v>88</v>
      </c>
      <c r="G342">
        <v>39.019165000000001</v>
      </c>
      <c r="H342">
        <v>-108.767776</v>
      </c>
      <c r="K342" t="s">
        <v>155</v>
      </c>
      <c r="L342">
        <v>1</v>
      </c>
      <c r="M342" t="s">
        <v>90</v>
      </c>
      <c r="N342" t="s">
        <v>91</v>
      </c>
      <c r="O342" t="s">
        <v>92</v>
      </c>
      <c r="S342" t="s">
        <v>108</v>
      </c>
      <c r="T342" t="s">
        <v>332</v>
      </c>
      <c r="U342" t="s">
        <v>150</v>
      </c>
    </row>
    <row r="343" spans="1:21" x14ac:dyDescent="0.3">
      <c r="A343" t="s">
        <v>968</v>
      </c>
      <c r="B343" s="6" t="str">
        <f>HYPERLINK("http://data.ntsb.gov/carol-repgen/api/Aviation/ReportMain/GenerateNewestReport/99417/pdf","AccidentReport")</f>
        <v>AccidentReport</v>
      </c>
      <c r="C343" t="s">
        <v>962</v>
      </c>
      <c r="D343" t="s">
        <v>969</v>
      </c>
      <c r="E343" t="s">
        <v>138</v>
      </c>
      <c r="F343" t="s">
        <v>88</v>
      </c>
      <c r="G343">
        <v>42.426943999999999</v>
      </c>
      <c r="H343">
        <v>-83.866668000000004</v>
      </c>
      <c r="J343">
        <v>2</v>
      </c>
      <c r="K343" t="s">
        <v>99</v>
      </c>
      <c r="L343">
        <v>1</v>
      </c>
      <c r="M343" t="s">
        <v>90</v>
      </c>
      <c r="N343" t="s">
        <v>91</v>
      </c>
      <c r="O343" t="s">
        <v>92</v>
      </c>
      <c r="S343" t="s">
        <v>108</v>
      </c>
      <c r="T343" t="s">
        <v>442</v>
      </c>
      <c r="U343" t="s">
        <v>150</v>
      </c>
    </row>
    <row r="344" spans="1:21" x14ac:dyDescent="0.3">
      <c r="A344" t="s">
        <v>970</v>
      </c>
      <c r="B344" s="6" t="str">
        <f>HYPERLINK("http://data.ntsb.gov/carol-repgen/api/Aviation/ReportMain/GenerateNewestReport/99422/pdf","AccidentReport")</f>
        <v>AccidentReport</v>
      </c>
      <c r="C344" t="s">
        <v>962</v>
      </c>
      <c r="D344" t="s">
        <v>971</v>
      </c>
      <c r="E344" t="s">
        <v>131</v>
      </c>
      <c r="F344" t="s">
        <v>88</v>
      </c>
      <c r="G344">
        <v>38.964443000000003</v>
      </c>
      <c r="H344">
        <v>-108.652778</v>
      </c>
      <c r="K344" t="s">
        <v>89</v>
      </c>
      <c r="L344">
        <v>1</v>
      </c>
      <c r="M344" t="s">
        <v>90</v>
      </c>
      <c r="N344" t="s">
        <v>91</v>
      </c>
      <c r="O344" t="s">
        <v>92</v>
      </c>
      <c r="S344" t="s">
        <v>108</v>
      </c>
      <c r="T344" t="s">
        <v>113</v>
      </c>
      <c r="U344" t="s">
        <v>103</v>
      </c>
    </row>
    <row r="345" spans="1:21" x14ac:dyDescent="0.3">
      <c r="A345" t="s">
        <v>972</v>
      </c>
      <c r="B345" s="6" t="str">
        <f>HYPERLINK("http://data.ntsb.gov/carol-repgen/api/Aviation/ReportMain/GenerateNewestReport/99427/pdf","AccidentReport")</f>
        <v>AccidentReport</v>
      </c>
      <c r="C345" t="s">
        <v>962</v>
      </c>
      <c r="D345" t="s">
        <v>495</v>
      </c>
      <c r="E345" t="s">
        <v>390</v>
      </c>
      <c r="F345" t="s">
        <v>88</v>
      </c>
      <c r="G345">
        <v>39.941943999999999</v>
      </c>
      <c r="H345">
        <v>-74.848608999999996</v>
      </c>
      <c r="K345" t="s">
        <v>89</v>
      </c>
      <c r="L345">
        <v>1</v>
      </c>
      <c r="M345" t="s">
        <v>90</v>
      </c>
      <c r="N345" t="s">
        <v>91</v>
      </c>
      <c r="O345" t="s">
        <v>92</v>
      </c>
      <c r="S345" t="s">
        <v>173</v>
      </c>
      <c r="T345" t="s">
        <v>414</v>
      </c>
      <c r="U345" t="s">
        <v>248</v>
      </c>
    </row>
    <row r="346" spans="1:21" x14ac:dyDescent="0.3">
      <c r="A346" t="s">
        <v>973</v>
      </c>
      <c r="B346" s="6" t="str">
        <f>HYPERLINK("http://data.ntsb.gov/carol-repgen/api/Aviation/ReportMain/GenerateNewestReport/99426/pdf","AccidentReport")</f>
        <v>AccidentReport</v>
      </c>
      <c r="C346" t="s">
        <v>974</v>
      </c>
      <c r="D346" t="s">
        <v>383</v>
      </c>
      <c r="E346" t="s">
        <v>138</v>
      </c>
      <c r="F346" t="s">
        <v>88</v>
      </c>
      <c r="G346">
        <v>44.622776000000002</v>
      </c>
      <c r="H346">
        <v>-86.330557999999996</v>
      </c>
      <c r="I346">
        <v>2</v>
      </c>
      <c r="K346" t="s">
        <v>107</v>
      </c>
      <c r="L346">
        <v>1</v>
      </c>
      <c r="M346" t="s">
        <v>90</v>
      </c>
      <c r="N346" t="s">
        <v>91</v>
      </c>
      <c r="O346" t="s">
        <v>92</v>
      </c>
      <c r="S346" t="s">
        <v>173</v>
      </c>
      <c r="T346" t="s">
        <v>159</v>
      </c>
      <c r="U346" t="s">
        <v>186</v>
      </c>
    </row>
    <row r="347" spans="1:21" x14ac:dyDescent="0.3">
      <c r="A347" t="s">
        <v>975</v>
      </c>
      <c r="B347" s="6" t="str">
        <f>HYPERLINK("http://data.ntsb.gov/carol-repgen/api/Aviation/ReportMain/GenerateNewestReport/99420/pdf","AccidentReport")</f>
        <v>AccidentReport</v>
      </c>
      <c r="C347" t="s">
        <v>974</v>
      </c>
      <c r="D347" t="s">
        <v>976</v>
      </c>
      <c r="E347" t="s">
        <v>233</v>
      </c>
      <c r="F347" t="s">
        <v>88</v>
      </c>
      <c r="G347">
        <v>62.961112</v>
      </c>
      <c r="H347">
        <v>-141.928054</v>
      </c>
      <c r="K347" t="s">
        <v>89</v>
      </c>
      <c r="L347">
        <v>1</v>
      </c>
      <c r="M347" t="s">
        <v>90</v>
      </c>
      <c r="N347" t="s">
        <v>91</v>
      </c>
      <c r="O347" t="s">
        <v>92</v>
      </c>
      <c r="S347" t="s">
        <v>166</v>
      </c>
      <c r="T347" t="s">
        <v>94</v>
      </c>
      <c r="U347" t="s">
        <v>95</v>
      </c>
    </row>
    <row r="348" spans="1:21" x14ac:dyDescent="0.3">
      <c r="A348" t="s">
        <v>977</v>
      </c>
      <c r="B348" s="6" t="str">
        <f>HYPERLINK("http://data.ntsb.gov/carol-repgen/api/Aviation/ReportMain/GenerateNewestReport/99425/pdf","AccidentReport")</f>
        <v>AccidentReport</v>
      </c>
      <c r="C348" t="s">
        <v>974</v>
      </c>
      <c r="D348" t="s">
        <v>978</v>
      </c>
      <c r="E348" t="s">
        <v>233</v>
      </c>
      <c r="F348" t="s">
        <v>88</v>
      </c>
      <c r="G348">
        <v>60.524723000000002</v>
      </c>
      <c r="H348">
        <v>-150.99638300000001</v>
      </c>
      <c r="K348" t="s">
        <v>89</v>
      </c>
      <c r="L348">
        <v>1</v>
      </c>
      <c r="M348" t="s">
        <v>90</v>
      </c>
      <c r="N348" t="s">
        <v>91</v>
      </c>
      <c r="O348" t="s">
        <v>92</v>
      </c>
      <c r="S348" t="s">
        <v>108</v>
      </c>
      <c r="T348" t="s">
        <v>109</v>
      </c>
      <c r="U348" t="s">
        <v>95</v>
      </c>
    </row>
    <row r="349" spans="1:21" x14ac:dyDescent="0.3">
      <c r="A349" t="s">
        <v>979</v>
      </c>
      <c r="B349" s="6" t="str">
        <f>HYPERLINK("http://data.ntsb.gov/carol-repgen/api/Aviation/ReportMain/GenerateNewestReport/99418/pdf","AccidentReport")</f>
        <v>AccidentReport</v>
      </c>
      <c r="C349" t="s">
        <v>980</v>
      </c>
      <c r="D349" t="s">
        <v>981</v>
      </c>
      <c r="E349" t="s">
        <v>613</v>
      </c>
      <c r="F349" t="s">
        <v>88</v>
      </c>
      <c r="G349">
        <v>33.178333000000002</v>
      </c>
      <c r="H349">
        <v>-91.880279000000002</v>
      </c>
      <c r="K349" t="s">
        <v>89</v>
      </c>
      <c r="L349">
        <v>1</v>
      </c>
      <c r="M349" t="s">
        <v>90</v>
      </c>
      <c r="N349" t="s">
        <v>91</v>
      </c>
      <c r="O349" t="s">
        <v>92</v>
      </c>
      <c r="S349" t="s">
        <v>108</v>
      </c>
      <c r="T349" t="s">
        <v>94</v>
      </c>
      <c r="U349" t="s">
        <v>95</v>
      </c>
    </row>
    <row r="350" spans="1:21" x14ac:dyDescent="0.3">
      <c r="A350" t="s">
        <v>982</v>
      </c>
      <c r="B350" s="6" t="str">
        <f>HYPERLINK("http://data.ntsb.gov/carol-repgen/api/Aviation/ReportMain/GenerateNewestReport/99421/pdf","AccidentReport")</f>
        <v>AccidentReport</v>
      </c>
      <c r="C350" t="s">
        <v>980</v>
      </c>
      <c r="D350" t="s">
        <v>983</v>
      </c>
      <c r="E350" t="s">
        <v>112</v>
      </c>
      <c r="F350" t="s">
        <v>88</v>
      </c>
      <c r="G350">
        <v>45.783889000000002</v>
      </c>
      <c r="H350">
        <v>-111.16083500000001</v>
      </c>
      <c r="K350" t="s">
        <v>89</v>
      </c>
      <c r="L350">
        <v>1</v>
      </c>
      <c r="M350" t="s">
        <v>90</v>
      </c>
      <c r="N350" t="s">
        <v>91</v>
      </c>
      <c r="O350" t="s">
        <v>92</v>
      </c>
      <c r="S350" t="s">
        <v>93</v>
      </c>
      <c r="T350" t="s">
        <v>94</v>
      </c>
      <c r="U350" t="s">
        <v>95</v>
      </c>
    </row>
    <row r="351" spans="1:21" x14ac:dyDescent="0.3">
      <c r="A351" t="s">
        <v>984</v>
      </c>
      <c r="B351" s="6" t="str">
        <f>HYPERLINK("http://data.ntsb.gov/carol-repgen/api/Aviation/ReportMain/GenerateNewestReport/99429/pdf","AccidentReport")</f>
        <v>AccidentReport</v>
      </c>
      <c r="C351" t="s">
        <v>980</v>
      </c>
      <c r="D351" t="s">
        <v>826</v>
      </c>
      <c r="E351" t="s">
        <v>125</v>
      </c>
      <c r="F351" t="s">
        <v>88</v>
      </c>
      <c r="G351">
        <v>32.959999000000003</v>
      </c>
      <c r="H351">
        <v>-112.66999800000001</v>
      </c>
      <c r="K351" t="s">
        <v>155</v>
      </c>
      <c r="L351">
        <v>1</v>
      </c>
      <c r="M351" t="s">
        <v>90</v>
      </c>
      <c r="N351" t="s">
        <v>91</v>
      </c>
      <c r="O351" t="s">
        <v>92</v>
      </c>
      <c r="S351" t="s">
        <v>108</v>
      </c>
      <c r="T351" t="s">
        <v>109</v>
      </c>
      <c r="U351" t="s">
        <v>95</v>
      </c>
    </row>
    <row r="352" spans="1:21" x14ac:dyDescent="0.3">
      <c r="A352" t="s">
        <v>985</v>
      </c>
      <c r="B352" s="6" t="str">
        <f>HYPERLINK("http://data.ntsb.gov/carol-repgen/api/Aviation/ReportMain/GenerateNewestReport/99626/pdf","AccidentReport")</f>
        <v>AccidentReport</v>
      </c>
      <c r="C352" t="s">
        <v>986</v>
      </c>
      <c r="D352" t="s">
        <v>987</v>
      </c>
      <c r="E352" t="s">
        <v>131</v>
      </c>
      <c r="F352" t="s">
        <v>88</v>
      </c>
      <c r="G352">
        <v>38.085276999999998</v>
      </c>
      <c r="H352">
        <v>-103.200836</v>
      </c>
      <c r="J352">
        <v>1</v>
      </c>
      <c r="K352" t="s">
        <v>99</v>
      </c>
      <c r="L352">
        <v>1</v>
      </c>
      <c r="M352" t="s">
        <v>90</v>
      </c>
      <c r="N352" t="s">
        <v>91</v>
      </c>
      <c r="O352" t="s">
        <v>92</v>
      </c>
      <c r="S352" t="s">
        <v>108</v>
      </c>
      <c r="T352" t="s">
        <v>109</v>
      </c>
      <c r="U352" t="s">
        <v>95</v>
      </c>
    </row>
    <row r="353" spans="1:21" x14ac:dyDescent="0.3">
      <c r="A353" t="s">
        <v>988</v>
      </c>
      <c r="B353" s="6" t="str">
        <f>HYPERLINK("http://data.ntsb.gov/carol-repgen/api/Aviation/ReportMain/GenerateNewestReport/99430/pdf","AccidentReport")</f>
        <v>AccidentReport</v>
      </c>
      <c r="C353" t="s">
        <v>986</v>
      </c>
      <c r="D353" t="s">
        <v>525</v>
      </c>
      <c r="E353" t="s">
        <v>117</v>
      </c>
      <c r="F353" t="s">
        <v>88</v>
      </c>
      <c r="G353">
        <v>40.273055999999997</v>
      </c>
      <c r="H353">
        <v>-79.410278000000005</v>
      </c>
      <c r="K353" t="s">
        <v>89</v>
      </c>
      <c r="L353">
        <v>1</v>
      </c>
      <c r="M353" t="s">
        <v>90</v>
      </c>
      <c r="N353" t="s">
        <v>91</v>
      </c>
      <c r="O353" t="s">
        <v>92</v>
      </c>
      <c r="S353" t="s">
        <v>108</v>
      </c>
      <c r="T353" t="s">
        <v>102</v>
      </c>
      <c r="U353" t="s">
        <v>248</v>
      </c>
    </row>
    <row r="354" spans="1:21" x14ac:dyDescent="0.3">
      <c r="A354" t="s">
        <v>989</v>
      </c>
      <c r="B354" s="6" t="str">
        <f>HYPERLINK("http://data.ntsb.gov/carol-repgen/api/Aviation/ReportMain/GenerateNewestReport/99439/pdf","AccidentReport")</f>
        <v>AccidentReport</v>
      </c>
      <c r="C354" t="s">
        <v>986</v>
      </c>
      <c r="D354" t="s">
        <v>990</v>
      </c>
      <c r="E354" t="s">
        <v>154</v>
      </c>
      <c r="F354" t="s">
        <v>88</v>
      </c>
      <c r="G354">
        <v>30.061665999999999</v>
      </c>
      <c r="H354">
        <v>-95.552779999999998</v>
      </c>
      <c r="K354" t="s">
        <v>89</v>
      </c>
      <c r="L354">
        <v>1</v>
      </c>
      <c r="M354" t="s">
        <v>90</v>
      </c>
      <c r="N354" t="s">
        <v>91</v>
      </c>
      <c r="O354" t="s">
        <v>92</v>
      </c>
      <c r="S354" t="s">
        <v>93</v>
      </c>
      <c r="T354" t="s">
        <v>94</v>
      </c>
      <c r="U354" t="s">
        <v>95</v>
      </c>
    </row>
    <row r="355" spans="1:21" x14ac:dyDescent="0.3">
      <c r="A355" t="s">
        <v>991</v>
      </c>
      <c r="B355" s="6" t="str">
        <f>HYPERLINK("http://data.ntsb.gov/carol-repgen/api/Aviation/ReportMain/GenerateNewestReport/99515/pdf","AccidentReport")</f>
        <v>AccidentReport</v>
      </c>
      <c r="C355" t="s">
        <v>986</v>
      </c>
      <c r="D355" t="s">
        <v>992</v>
      </c>
      <c r="E355" t="s">
        <v>122</v>
      </c>
      <c r="F355" t="s">
        <v>88</v>
      </c>
      <c r="G355">
        <v>42.725276000000001</v>
      </c>
      <c r="H355">
        <v>-114.447219</v>
      </c>
      <c r="K355" t="s">
        <v>155</v>
      </c>
      <c r="L355">
        <v>1</v>
      </c>
      <c r="M355" t="s">
        <v>90</v>
      </c>
      <c r="N355" t="s">
        <v>91</v>
      </c>
      <c r="O355" t="s">
        <v>92</v>
      </c>
      <c r="S355" t="s">
        <v>108</v>
      </c>
      <c r="T355" t="s">
        <v>442</v>
      </c>
      <c r="U355" t="s">
        <v>248</v>
      </c>
    </row>
    <row r="356" spans="1:21" x14ac:dyDescent="0.3">
      <c r="A356" t="s">
        <v>993</v>
      </c>
      <c r="B356" s="6" t="str">
        <f>HYPERLINK("http://data.ntsb.gov/carol-repgen/api/Aviation/ReportMain/GenerateNewestReport/99587/pdf","AccidentReport")</f>
        <v>AccidentReport</v>
      </c>
      <c r="C356" t="s">
        <v>986</v>
      </c>
      <c r="D356" t="s">
        <v>994</v>
      </c>
      <c r="E356" t="s">
        <v>251</v>
      </c>
      <c r="F356" t="s">
        <v>88</v>
      </c>
      <c r="G356">
        <v>42.538887000000003</v>
      </c>
      <c r="H356">
        <v>-122.903892</v>
      </c>
      <c r="K356" t="s">
        <v>155</v>
      </c>
      <c r="L356">
        <v>1</v>
      </c>
      <c r="M356" t="s">
        <v>90</v>
      </c>
      <c r="N356" t="s">
        <v>91</v>
      </c>
      <c r="O356" t="s">
        <v>92</v>
      </c>
      <c r="S356" t="s">
        <v>108</v>
      </c>
      <c r="T356" t="s">
        <v>159</v>
      </c>
      <c r="U356" t="s">
        <v>103</v>
      </c>
    </row>
    <row r="357" spans="1:21" x14ac:dyDescent="0.3">
      <c r="A357" t="s">
        <v>995</v>
      </c>
      <c r="B357" s="6" t="str">
        <f>HYPERLINK("http://data.ntsb.gov/carol-repgen/api/Aviation/ReportMain/GenerateNewestReport/99441/pdf","AccidentReport")</f>
        <v>AccidentReport</v>
      </c>
      <c r="C357" t="s">
        <v>996</v>
      </c>
      <c r="D357" t="s">
        <v>597</v>
      </c>
      <c r="E357" t="s">
        <v>131</v>
      </c>
      <c r="F357" t="s">
        <v>88</v>
      </c>
      <c r="G357">
        <v>40.464720999999997</v>
      </c>
      <c r="H357">
        <v>-105.085556</v>
      </c>
      <c r="I357">
        <v>1</v>
      </c>
      <c r="K357" t="s">
        <v>107</v>
      </c>
      <c r="L357">
        <v>1</v>
      </c>
      <c r="M357" t="s">
        <v>147</v>
      </c>
      <c r="N357" t="s">
        <v>91</v>
      </c>
      <c r="O357" t="s">
        <v>92</v>
      </c>
      <c r="S357" t="s">
        <v>433</v>
      </c>
      <c r="T357" t="s">
        <v>159</v>
      </c>
      <c r="U357" t="s">
        <v>119</v>
      </c>
    </row>
    <row r="358" spans="1:21" x14ac:dyDescent="0.3">
      <c r="A358" t="s">
        <v>997</v>
      </c>
      <c r="B358" s="6" t="str">
        <f>HYPERLINK("http://data.ntsb.gov/carol-repgen/api/Aviation/ReportMain/GenerateNewestReport/99433/pdf","AccidentReport")</f>
        <v>AccidentReport</v>
      </c>
      <c r="C358" t="s">
        <v>996</v>
      </c>
      <c r="D358" t="s">
        <v>998</v>
      </c>
      <c r="E358" t="s">
        <v>360</v>
      </c>
      <c r="F358" t="s">
        <v>88</v>
      </c>
      <c r="G358">
        <v>38.514999000000003</v>
      </c>
      <c r="H358">
        <v>-89.09111</v>
      </c>
      <c r="K358" t="s">
        <v>155</v>
      </c>
      <c r="L358">
        <v>1</v>
      </c>
      <c r="M358" t="s">
        <v>90</v>
      </c>
      <c r="N358" t="s">
        <v>91</v>
      </c>
      <c r="O358" t="s">
        <v>92</v>
      </c>
      <c r="S358" t="s">
        <v>93</v>
      </c>
      <c r="T358" t="s">
        <v>139</v>
      </c>
      <c r="U358" t="s">
        <v>103</v>
      </c>
    </row>
    <row r="359" spans="1:21" x14ac:dyDescent="0.3">
      <c r="A359" t="s">
        <v>999</v>
      </c>
      <c r="B359" s="6" t="str">
        <f>HYPERLINK("http://data.ntsb.gov/carol-repgen/api/Aviation/ReportMain/GenerateNewestReport/99432/pdf","AccidentReport")</f>
        <v>AccidentReport</v>
      </c>
      <c r="C359" t="s">
        <v>996</v>
      </c>
      <c r="D359" t="s">
        <v>651</v>
      </c>
      <c r="E359" t="s">
        <v>651</v>
      </c>
      <c r="F359" t="s">
        <v>88</v>
      </c>
      <c r="G359">
        <v>40.754443999999999</v>
      </c>
      <c r="H359">
        <v>-74.006941999999995</v>
      </c>
      <c r="K359" t="s">
        <v>89</v>
      </c>
      <c r="L359">
        <v>1</v>
      </c>
      <c r="M359" t="s">
        <v>90</v>
      </c>
      <c r="N359" t="s">
        <v>100</v>
      </c>
      <c r="O359" t="s">
        <v>92</v>
      </c>
      <c r="S359" t="s">
        <v>166</v>
      </c>
      <c r="T359" t="s">
        <v>102</v>
      </c>
      <c r="U359" t="s">
        <v>103</v>
      </c>
    </row>
    <row r="360" spans="1:21" x14ac:dyDescent="0.3">
      <c r="A360" t="s">
        <v>1000</v>
      </c>
      <c r="B360" s="6" t="str">
        <f>HYPERLINK("http://data.ntsb.gov/carol-repgen/api/Aviation/ReportMain/GenerateNewestReport/99450/pdf","AccidentReport")</f>
        <v>AccidentReport</v>
      </c>
      <c r="C360" t="s">
        <v>996</v>
      </c>
      <c r="D360" t="s">
        <v>1001</v>
      </c>
      <c r="E360" t="s">
        <v>356</v>
      </c>
      <c r="F360" t="s">
        <v>88</v>
      </c>
      <c r="G360">
        <v>33.391387000000002</v>
      </c>
      <c r="H360">
        <v>-84.325552999999999</v>
      </c>
      <c r="I360">
        <v>0</v>
      </c>
      <c r="J360">
        <v>0</v>
      </c>
      <c r="K360" t="s">
        <v>89</v>
      </c>
      <c r="L360">
        <v>1</v>
      </c>
      <c r="M360" t="s">
        <v>90</v>
      </c>
      <c r="N360" t="s">
        <v>100</v>
      </c>
      <c r="O360" t="s">
        <v>92</v>
      </c>
      <c r="S360" t="s">
        <v>108</v>
      </c>
      <c r="T360" t="s">
        <v>94</v>
      </c>
      <c r="U360" t="s">
        <v>95</v>
      </c>
    </row>
    <row r="361" spans="1:21" x14ac:dyDescent="0.3">
      <c r="A361" t="s">
        <v>1002</v>
      </c>
      <c r="B361" s="6" t="str">
        <f>HYPERLINK("http://data.ntsb.gov/carol-repgen/api/Aviation/ReportMain/GenerateNewestReport/99436/pdf","AccidentReport")</f>
        <v>AccidentReport</v>
      </c>
      <c r="C361" t="s">
        <v>996</v>
      </c>
      <c r="D361" t="s">
        <v>1003</v>
      </c>
      <c r="E361" t="s">
        <v>154</v>
      </c>
      <c r="F361" t="s">
        <v>88</v>
      </c>
      <c r="G361">
        <v>29.479165999999999</v>
      </c>
      <c r="H361">
        <v>-95.326667</v>
      </c>
      <c r="K361" t="s">
        <v>155</v>
      </c>
      <c r="L361">
        <v>1</v>
      </c>
      <c r="M361" t="s">
        <v>90</v>
      </c>
      <c r="N361" t="s">
        <v>91</v>
      </c>
      <c r="O361" t="s">
        <v>92</v>
      </c>
      <c r="S361" t="s">
        <v>108</v>
      </c>
      <c r="T361" t="s">
        <v>94</v>
      </c>
      <c r="U361" t="s">
        <v>95</v>
      </c>
    </row>
    <row r="362" spans="1:21" x14ac:dyDescent="0.3">
      <c r="A362" t="s">
        <v>1004</v>
      </c>
      <c r="B362" s="6" t="str">
        <f>HYPERLINK("http://data.ntsb.gov/carol-repgen/api/Aviation/ReportMain/GenerateNewestReport/99443/pdf","AccidentReport")</f>
        <v>AccidentReport</v>
      </c>
      <c r="C362" t="s">
        <v>996</v>
      </c>
      <c r="D362" t="s">
        <v>1005</v>
      </c>
      <c r="E362" t="s">
        <v>154</v>
      </c>
      <c r="F362" t="s">
        <v>88</v>
      </c>
      <c r="G362">
        <v>29.182777000000002</v>
      </c>
      <c r="H362">
        <v>-95.993887999999998</v>
      </c>
      <c r="K362" t="s">
        <v>89</v>
      </c>
      <c r="L362">
        <v>1</v>
      </c>
      <c r="M362" t="s">
        <v>147</v>
      </c>
      <c r="N362" t="s">
        <v>91</v>
      </c>
      <c r="O362" t="s">
        <v>169</v>
      </c>
      <c r="S362" t="s">
        <v>515</v>
      </c>
      <c r="T362" t="s">
        <v>113</v>
      </c>
      <c r="U362" t="s">
        <v>103</v>
      </c>
    </row>
    <row r="363" spans="1:21" x14ac:dyDescent="0.3">
      <c r="A363" t="s">
        <v>1006</v>
      </c>
      <c r="B363" s="6" t="str">
        <f>HYPERLINK("http://data.ntsb.gov/carol-repgen/api/Aviation/ReportMain/GenerateNewestReport/99431/pdf","AccidentReport")</f>
        <v>AccidentReport</v>
      </c>
      <c r="C363" t="s">
        <v>996</v>
      </c>
      <c r="D363" t="s">
        <v>1007</v>
      </c>
      <c r="E363" t="s">
        <v>106</v>
      </c>
      <c r="F363" t="s">
        <v>88</v>
      </c>
      <c r="G363">
        <v>38.885275999999998</v>
      </c>
      <c r="H363">
        <v>-121.423889</v>
      </c>
      <c r="I363">
        <v>2</v>
      </c>
      <c r="K363" t="s">
        <v>107</v>
      </c>
      <c r="L363">
        <v>1</v>
      </c>
      <c r="M363" t="s">
        <v>147</v>
      </c>
      <c r="N363" t="s">
        <v>91</v>
      </c>
      <c r="O363" t="s">
        <v>169</v>
      </c>
      <c r="S363" t="s">
        <v>515</v>
      </c>
      <c r="T363" t="s">
        <v>287</v>
      </c>
      <c r="U363" t="s">
        <v>1008</v>
      </c>
    </row>
    <row r="364" spans="1:21" x14ac:dyDescent="0.3">
      <c r="A364" t="s">
        <v>1006</v>
      </c>
      <c r="B364" s="6" t="str">
        <f>HYPERLINK("http://data.ntsb.gov/carol-repgen/api/Aviation/ReportMain/GenerateNewestReport/99431/pdf","AccidentReport")</f>
        <v>AccidentReport</v>
      </c>
      <c r="C364" t="s">
        <v>996</v>
      </c>
      <c r="D364" t="s">
        <v>1007</v>
      </c>
      <c r="E364" t="s">
        <v>106</v>
      </c>
      <c r="F364" t="s">
        <v>88</v>
      </c>
      <c r="G364">
        <v>38.885275999999998</v>
      </c>
      <c r="H364">
        <v>-121.423889</v>
      </c>
      <c r="I364">
        <v>2</v>
      </c>
      <c r="K364" t="s">
        <v>107</v>
      </c>
      <c r="L364">
        <v>2</v>
      </c>
      <c r="M364" t="s">
        <v>147</v>
      </c>
      <c r="N364" t="s">
        <v>91</v>
      </c>
      <c r="O364" t="s">
        <v>169</v>
      </c>
      <c r="S364" t="s">
        <v>515</v>
      </c>
      <c r="T364" t="s">
        <v>287</v>
      </c>
      <c r="U364" t="s">
        <v>1008</v>
      </c>
    </row>
    <row r="365" spans="1:21" x14ac:dyDescent="0.3">
      <c r="A365" t="s">
        <v>1009</v>
      </c>
      <c r="B365" s="6" t="str">
        <f>HYPERLINK("http://data.ntsb.gov/carol-repgen/api/Aviation/ReportMain/GenerateNewestReport/99435/pdf","AccidentReport")</f>
        <v>AccidentReport</v>
      </c>
      <c r="C365" t="s">
        <v>996</v>
      </c>
      <c r="D365" t="s">
        <v>1010</v>
      </c>
      <c r="E365" t="s">
        <v>106</v>
      </c>
      <c r="F365" t="s">
        <v>88</v>
      </c>
      <c r="G365">
        <v>34.691111999999997</v>
      </c>
      <c r="H365">
        <v>-119.95332999999999</v>
      </c>
      <c r="I365">
        <v>1</v>
      </c>
      <c r="K365" t="s">
        <v>107</v>
      </c>
      <c r="L365">
        <v>1</v>
      </c>
      <c r="M365" t="s">
        <v>147</v>
      </c>
      <c r="N365" t="s">
        <v>91</v>
      </c>
      <c r="O365" t="s">
        <v>92</v>
      </c>
      <c r="S365" t="s">
        <v>108</v>
      </c>
      <c r="T365" t="s">
        <v>332</v>
      </c>
      <c r="U365" t="s">
        <v>186</v>
      </c>
    </row>
    <row r="366" spans="1:21" x14ac:dyDescent="0.3">
      <c r="A366" t="s">
        <v>1011</v>
      </c>
      <c r="B366" s="6" t="str">
        <f>HYPERLINK("http://data.ntsb.gov/carol-repgen/api/Aviation/ReportMain/GenerateNewestReport/99465/pdf","AccidentReport")</f>
        <v>AccidentReport</v>
      </c>
      <c r="C366" t="s">
        <v>1012</v>
      </c>
      <c r="D366" t="s">
        <v>586</v>
      </c>
      <c r="E366" t="s">
        <v>146</v>
      </c>
      <c r="F366" t="s">
        <v>88</v>
      </c>
      <c r="G366">
        <v>35.151111</v>
      </c>
      <c r="H366">
        <v>-88.212219000000005</v>
      </c>
      <c r="I366">
        <v>0</v>
      </c>
      <c r="J366">
        <v>0</v>
      </c>
      <c r="K366" t="s">
        <v>89</v>
      </c>
      <c r="L366">
        <v>1</v>
      </c>
      <c r="M366" t="s">
        <v>90</v>
      </c>
      <c r="N366" t="s">
        <v>91</v>
      </c>
      <c r="O366" t="s">
        <v>92</v>
      </c>
      <c r="S366" t="s">
        <v>108</v>
      </c>
      <c r="T366" t="s">
        <v>139</v>
      </c>
      <c r="U366" t="s">
        <v>186</v>
      </c>
    </row>
    <row r="367" spans="1:21" x14ac:dyDescent="0.3">
      <c r="A367" t="s">
        <v>1013</v>
      </c>
      <c r="B367" s="6" t="str">
        <f>HYPERLINK("http://data.ntsb.gov/carol-repgen/api/Aviation/ReportMain/GenerateNewestReport/99460/pdf","AccidentReport")</f>
        <v>AccidentReport</v>
      </c>
      <c r="C367" t="s">
        <v>1012</v>
      </c>
      <c r="D367" t="s">
        <v>1014</v>
      </c>
      <c r="E367" t="s">
        <v>98</v>
      </c>
      <c r="F367" t="s">
        <v>88</v>
      </c>
      <c r="G367">
        <v>28.629999000000002</v>
      </c>
      <c r="H367">
        <v>-81.389442000000003</v>
      </c>
      <c r="K367" t="s">
        <v>89</v>
      </c>
      <c r="L367">
        <v>1</v>
      </c>
      <c r="M367" t="s">
        <v>90</v>
      </c>
      <c r="N367" t="s">
        <v>91</v>
      </c>
      <c r="O367" t="s">
        <v>92</v>
      </c>
      <c r="S367" t="s">
        <v>108</v>
      </c>
      <c r="T367" t="s">
        <v>159</v>
      </c>
      <c r="U367" t="s">
        <v>186</v>
      </c>
    </row>
    <row r="368" spans="1:21" x14ac:dyDescent="0.3">
      <c r="A368" t="s">
        <v>1015</v>
      </c>
      <c r="B368" s="6" t="str">
        <f>HYPERLINK("http://data.ntsb.gov/carol-repgen/api/Aviation/ReportMain/GenerateNewestReport/99463/pdf","AccidentReport")</f>
        <v>AccidentReport</v>
      </c>
      <c r="C368" t="s">
        <v>1016</v>
      </c>
      <c r="D368" t="s">
        <v>1017</v>
      </c>
      <c r="E368" t="s">
        <v>98</v>
      </c>
      <c r="F368" t="s">
        <v>88</v>
      </c>
      <c r="G368">
        <v>29.007777999999998</v>
      </c>
      <c r="H368">
        <v>-82.845000999999996</v>
      </c>
      <c r="K368" t="s">
        <v>155</v>
      </c>
      <c r="L368">
        <v>1</v>
      </c>
      <c r="M368" t="s">
        <v>90</v>
      </c>
      <c r="N368" t="s">
        <v>91</v>
      </c>
      <c r="O368" t="s">
        <v>92</v>
      </c>
      <c r="S368" t="s">
        <v>108</v>
      </c>
      <c r="T368" t="s">
        <v>139</v>
      </c>
      <c r="U368" t="s">
        <v>186</v>
      </c>
    </row>
    <row r="369" spans="1:21" x14ac:dyDescent="0.3">
      <c r="A369" t="s">
        <v>1018</v>
      </c>
      <c r="B369" s="6" t="str">
        <f>HYPERLINK("http://data.ntsb.gov/carol-repgen/api/Aviation/ReportMain/GenerateNewestReport/99454/pdf","AccidentReport")</f>
        <v>AccidentReport</v>
      </c>
      <c r="C369" t="s">
        <v>1016</v>
      </c>
      <c r="D369" t="s">
        <v>1019</v>
      </c>
      <c r="E369" t="s">
        <v>613</v>
      </c>
      <c r="F369" t="s">
        <v>88</v>
      </c>
      <c r="G369">
        <v>34.597498999999999</v>
      </c>
      <c r="H369">
        <v>-91.574995999999999</v>
      </c>
      <c r="K369" t="s">
        <v>89</v>
      </c>
      <c r="L369">
        <v>1</v>
      </c>
      <c r="M369" t="s">
        <v>90</v>
      </c>
      <c r="N369" t="s">
        <v>91</v>
      </c>
      <c r="O369" t="s">
        <v>169</v>
      </c>
      <c r="S369" t="s">
        <v>515</v>
      </c>
      <c r="T369" t="s">
        <v>102</v>
      </c>
      <c r="U369" t="s">
        <v>103</v>
      </c>
    </row>
    <row r="370" spans="1:21" x14ac:dyDescent="0.3">
      <c r="A370" t="s">
        <v>1020</v>
      </c>
      <c r="B370" s="6" t="str">
        <f>HYPERLINK("http://data.ntsb.gov/carol-repgen/api/Aviation/ReportMain/GenerateNewestReport/99444/pdf","AccidentReport")</f>
        <v>AccidentReport</v>
      </c>
      <c r="C370" t="s">
        <v>1016</v>
      </c>
      <c r="D370" t="s">
        <v>1021</v>
      </c>
      <c r="E370" t="s">
        <v>192</v>
      </c>
      <c r="F370" t="s">
        <v>88</v>
      </c>
      <c r="G370">
        <v>40.502498000000003</v>
      </c>
      <c r="H370">
        <v>-111.74388</v>
      </c>
      <c r="I370">
        <v>2</v>
      </c>
      <c r="K370" t="s">
        <v>107</v>
      </c>
      <c r="L370">
        <v>1</v>
      </c>
      <c r="M370" t="s">
        <v>90</v>
      </c>
      <c r="N370" t="s">
        <v>100</v>
      </c>
      <c r="O370" t="s">
        <v>92</v>
      </c>
      <c r="S370" t="s">
        <v>108</v>
      </c>
      <c r="T370" t="s">
        <v>279</v>
      </c>
      <c r="U370" t="s">
        <v>186</v>
      </c>
    </row>
    <row r="371" spans="1:21" x14ac:dyDescent="0.3">
      <c r="A371" t="s">
        <v>1022</v>
      </c>
      <c r="B371" s="6" t="str">
        <f>HYPERLINK("http://data.ntsb.gov/carol-repgen/api/Aviation/ReportMain/GenerateNewestReport/99446/pdf","AccidentReport")</f>
        <v>AccidentReport</v>
      </c>
      <c r="C371" t="s">
        <v>1023</v>
      </c>
      <c r="D371" t="s">
        <v>1024</v>
      </c>
      <c r="E371" t="s">
        <v>142</v>
      </c>
      <c r="F371" t="s">
        <v>88</v>
      </c>
      <c r="G371">
        <v>39.284168000000001</v>
      </c>
      <c r="H371">
        <v>-82.874442999999999</v>
      </c>
      <c r="I371">
        <v>1</v>
      </c>
      <c r="K371" t="s">
        <v>107</v>
      </c>
      <c r="L371">
        <v>1</v>
      </c>
      <c r="M371" t="s">
        <v>147</v>
      </c>
      <c r="N371" t="s">
        <v>91</v>
      </c>
      <c r="O371" t="s">
        <v>92</v>
      </c>
      <c r="S371" t="s">
        <v>108</v>
      </c>
      <c r="T371" t="s">
        <v>159</v>
      </c>
      <c r="U371" t="s">
        <v>186</v>
      </c>
    </row>
    <row r="372" spans="1:21" x14ac:dyDescent="0.3">
      <c r="A372" t="s">
        <v>1025</v>
      </c>
      <c r="B372" s="6" t="str">
        <f>HYPERLINK("http://data.ntsb.gov/carol-repgen/api/Aviation/ReportMain/GenerateNewestReport/99451/pdf","AccidentReport")</f>
        <v>AccidentReport</v>
      </c>
      <c r="C372" t="s">
        <v>1023</v>
      </c>
      <c r="D372" t="s">
        <v>1026</v>
      </c>
      <c r="E372" t="s">
        <v>509</v>
      </c>
      <c r="F372" t="s">
        <v>1027</v>
      </c>
      <c r="G372">
        <v>16.322219</v>
      </c>
      <c r="H372">
        <v>-86.504322000000002</v>
      </c>
      <c r="I372">
        <v>5</v>
      </c>
      <c r="K372" t="s">
        <v>107</v>
      </c>
      <c r="L372">
        <v>1</v>
      </c>
      <c r="M372" t="s">
        <v>90</v>
      </c>
      <c r="N372" t="s">
        <v>91</v>
      </c>
      <c r="O372" t="s">
        <v>381</v>
      </c>
      <c r="T372" t="s">
        <v>381</v>
      </c>
      <c r="U372" t="s">
        <v>248</v>
      </c>
    </row>
    <row r="373" spans="1:21" x14ac:dyDescent="0.3">
      <c r="A373" t="s">
        <v>1028</v>
      </c>
      <c r="B373" s="6" t="str">
        <f>HYPERLINK("http://data.ntsb.gov/carol-repgen/api/Aviation/ReportMain/GenerateNewestReport/99512/pdf","AccidentReport")</f>
        <v>AccidentReport</v>
      </c>
      <c r="C373" t="s">
        <v>1023</v>
      </c>
      <c r="D373" t="s">
        <v>1029</v>
      </c>
      <c r="E373" t="s">
        <v>117</v>
      </c>
      <c r="F373" t="s">
        <v>88</v>
      </c>
      <c r="G373">
        <v>41.803054000000003</v>
      </c>
      <c r="H373">
        <v>-78.639999000000003</v>
      </c>
      <c r="K373" t="s">
        <v>89</v>
      </c>
      <c r="L373">
        <v>1</v>
      </c>
      <c r="M373" t="s">
        <v>90</v>
      </c>
      <c r="N373" t="s">
        <v>91</v>
      </c>
      <c r="O373" t="s">
        <v>92</v>
      </c>
      <c r="S373" t="s">
        <v>108</v>
      </c>
      <c r="T373" t="s">
        <v>109</v>
      </c>
      <c r="U373" t="s">
        <v>95</v>
      </c>
    </row>
    <row r="374" spans="1:21" x14ac:dyDescent="0.3">
      <c r="A374" t="s">
        <v>1030</v>
      </c>
      <c r="B374" s="6" t="str">
        <f>HYPERLINK("http://data.ntsb.gov/carol-repgen/api/Aviation/ReportMain/GenerateNewestReport/99542/pdf","AccidentReport")</f>
        <v>AccidentReport</v>
      </c>
      <c r="C374" t="s">
        <v>1023</v>
      </c>
      <c r="D374" t="s">
        <v>355</v>
      </c>
      <c r="E374" t="s">
        <v>356</v>
      </c>
      <c r="F374" t="s">
        <v>88</v>
      </c>
      <c r="G374">
        <v>33.357776000000001</v>
      </c>
      <c r="H374">
        <v>-84.572502</v>
      </c>
      <c r="K374" t="s">
        <v>89</v>
      </c>
      <c r="L374">
        <v>1</v>
      </c>
      <c r="M374" t="s">
        <v>90</v>
      </c>
      <c r="N374" t="s">
        <v>91</v>
      </c>
      <c r="O374" t="s">
        <v>92</v>
      </c>
      <c r="S374" t="s">
        <v>108</v>
      </c>
      <c r="T374" t="s">
        <v>414</v>
      </c>
      <c r="U374" t="s">
        <v>95</v>
      </c>
    </row>
    <row r="375" spans="1:21" x14ac:dyDescent="0.3">
      <c r="A375" t="s">
        <v>1031</v>
      </c>
      <c r="B375" s="6" t="str">
        <f>HYPERLINK("http://data.ntsb.gov/carol-repgen/api/Aviation/ReportMain/GenerateNewestReport/99520/pdf","AccidentReport")</f>
        <v>AccidentReport</v>
      </c>
      <c r="C375" t="s">
        <v>1032</v>
      </c>
      <c r="D375" t="s">
        <v>1033</v>
      </c>
      <c r="E375" t="s">
        <v>402</v>
      </c>
      <c r="F375" t="s">
        <v>88</v>
      </c>
      <c r="G375">
        <v>33.618330999999998</v>
      </c>
      <c r="H375">
        <v>-80.693884999999995</v>
      </c>
      <c r="K375" t="s">
        <v>89</v>
      </c>
      <c r="L375">
        <v>1</v>
      </c>
      <c r="M375" t="s">
        <v>90</v>
      </c>
      <c r="N375" t="s">
        <v>91</v>
      </c>
      <c r="O375" t="s">
        <v>92</v>
      </c>
      <c r="S375" t="s">
        <v>108</v>
      </c>
      <c r="T375" t="s">
        <v>109</v>
      </c>
      <c r="U375" t="s">
        <v>95</v>
      </c>
    </row>
    <row r="376" spans="1:21" x14ac:dyDescent="0.3">
      <c r="A376" t="s">
        <v>1034</v>
      </c>
      <c r="B376" s="6" t="str">
        <f>HYPERLINK("http://data.ntsb.gov/carol-repgen/api/Aviation/ReportMain/GenerateNewestReport/99713/pdf","AccidentReport")</f>
        <v>AccidentReport</v>
      </c>
      <c r="C376" t="s">
        <v>1032</v>
      </c>
      <c r="D376" t="s">
        <v>1035</v>
      </c>
      <c r="E376" t="s">
        <v>356</v>
      </c>
      <c r="F376" t="s">
        <v>88</v>
      </c>
      <c r="G376">
        <v>34.854441999999999</v>
      </c>
      <c r="H376">
        <v>-83.997221999999994</v>
      </c>
      <c r="K376" t="s">
        <v>89</v>
      </c>
      <c r="L376">
        <v>1</v>
      </c>
      <c r="M376" t="s">
        <v>90</v>
      </c>
      <c r="N376" t="s">
        <v>91</v>
      </c>
      <c r="O376" t="s">
        <v>92</v>
      </c>
      <c r="S376" t="s">
        <v>108</v>
      </c>
      <c r="T376" t="s">
        <v>102</v>
      </c>
      <c r="U376" t="s">
        <v>95</v>
      </c>
    </row>
    <row r="377" spans="1:21" x14ac:dyDescent="0.3">
      <c r="A377" t="s">
        <v>1036</v>
      </c>
      <c r="B377" s="6" t="str">
        <f>HYPERLINK("http://data.ntsb.gov/carol-repgen/api/Aviation/ReportMain/GenerateNewestReport/99449/pdf","AccidentReport")</f>
        <v>AccidentReport</v>
      </c>
      <c r="C377" t="s">
        <v>1032</v>
      </c>
      <c r="D377" t="s">
        <v>446</v>
      </c>
      <c r="E377" t="s">
        <v>122</v>
      </c>
      <c r="F377" t="s">
        <v>88</v>
      </c>
      <c r="G377">
        <v>43.423053000000003</v>
      </c>
      <c r="H377">
        <v>-116.71250000000001</v>
      </c>
      <c r="I377">
        <v>1</v>
      </c>
      <c r="K377" t="s">
        <v>107</v>
      </c>
      <c r="L377">
        <v>1</v>
      </c>
      <c r="M377" t="s">
        <v>90</v>
      </c>
      <c r="N377" t="s">
        <v>91</v>
      </c>
      <c r="O377" t="s">
        <v>92</v>
      </c>
      <c r="S377" t="s">
        <v>108</v>
      </c>
      <c r="T377" t="s">
        <v>102</v>
      </c>
      <c r="U377" t="s">
        <v>150</v>
      </c>
    </row>
    <row r="378" spans="1:21" x14ac:dyDescent="0.3">
      <c r="A378" t="s">
        <v>1037</v>
      </c>
      <c r="B378" s="6" t="str">
        <f>HYPERLINK("http://data.ntsb.gov/carol-repgen/api/Aviation/ReportMain/GenerateNewestReport/99462/pdf","AccidentReport")</f>
        <v>AccidentReport</v>
      </c>
      <c r="C378" t="s">
        <v>1038</v>
      </c>
      <c r="D378" t="s">
        <v>1039</v>
      </c>
      <c r="F378" t="s">
        <v>1040</v>
      </c>
      <c r="G378">
        <v>19.833055000000002</v>
      </c>
      <c r="H378">
        <v>-70.779724000000002</v>
      </c>
      <c r="I378">
        <v>2</v>
      </c>
      <c r="J378">
        <v>1</v>
      </c>
      <c r="K378" t="s">
        <v>107</v>
      </c>
      <c r="L378">
        <v>1</v>
      </c>
      <c r="M378" t="s">
        <v>90</v>
      </c>
      <c r="N378" t="s">
        <v>100</v>
      </c>
      <c r="O378" t="s">
        <v>240</v>
      </c>
      <c r="T378" t="s">
        <v>381</v>
      </c>
      <c r="U378" t="s">
        <v>381</v>
      </c>
    </row>
    <row r="379" spans="1:21" x14ac:dyDescent="0.3">
      <c r="A379" t="s">
        <v>1041</v>
      </c>
      <c r="B379" s="6" t="str">
        <f>HYPERLINK("http://data.ntsb.gov/carol-repgen/api/Aviation/ReportMain/GenerateNewestReport/99474/pdf","AccidentReport")</f>
        <v>AccidentReport</v>
      </c>
      <c r="C379" t="s">
        <v>1038</v>
      </c>
      <c r="D379" t="s">
        <v>1042</v>
      </c>
      <c r="E379" t="s">
        <v>154</v>
      </c>
      <c r="F379" t="s">
        <v>88</v>
      </c>
      <c r="G379">
        <v>28.845555999999998</v>
      </c>
      <c r="H379">
        <v>-98.878050999999999</v>
      </c>
      <c r="J379">
        <v>1</v>
      </c>
      <c r="K379" t="s">
        <v>99</v>
      </c>
      <c r="L379">
        <v>1</v>
      </c>
      <c r="M379" t="s">
        <v>147</v>
      </c>
      <c r="N379" t="s">
        <v>91</v>
      </c>
      <c r="O379" t="s">
        <v>169</v>
      </c>
      <c r="S379" t="s">
        <v>515</v>
      </c>
      <c r="T379" t="s">
        <v>102</v>
      </c>
      <c r="U379" t="s">
        <v>103</v>
      </c>
    </row>
    <row r="380" spans="1:21" x14ac:dyDescent="0.3">
      <c r="A380" t="s">
        <v>1043</v>
      </c>
      <c r="B380" s="6" t="str">
        <f>HYPERLINK("http://data.ntsb.gov/carol-repgen/api/Aviation/ReportMain/GenerateNewestReport/99461/pdf","AccidentReport")</f>
        <v>AccidentReport</v>
      </c>
      <c r="C380" t="s">
        <v>1038</v>
      </c>
      <c r="D380" t="s">
        <v>1044</v>
      </c>
      <c r="E380" t="s">
        <v>233</v>
      </c>
      <c r="F380" t="s">
        <v>88</v>
      </c>
      <c r="G380">
        <v>60.910556</v>
      </c>
      <c r="H380">
        <v>-147.77081999999999</v>
      </c>
      <c r="I380">
        <v>1</v>
      </c>
      <c r="J380">
        <v>1</v>
      </c>
      <c r="K380" t="s">
        <v>107</v>
      </c>
      <c r="L380">
        <v>1</v>
      </c>
      <c r="M380" t="s">
        <v>90</v>
      </c>
      <c r="N380" t="s">
        <v>91</v>
      </c>
      <c r="O380" t="s">
        <v>92</v>
      </c>
      <c r="S380" t="s">
        <v>108</v>
      </c>
      <c r="T380" t="s">
        <v>109</v>
      </c>
      <c r="U380" t="s">
        <v>95</v>
      </c>
    </row>
    <row r="381" spans="1:21" x14ac:dyDescent="0.3">
      <c r="A381" t="s">
        <v>1045</v>
      </c>
      <c r="B381" s="6" t="str">
        <f>HYPERLINK("http://data.ntsb.gov/carol-repgen/api/Aviation/ReportMain/GenerateNewestReport/99464/pdf","AccidentReport")</f>
        <v>AccidentReport</v>
      </c>
      <c r="C381" t="s">
        <v>1046</v>
      </c>
      <c r="D381" t="s">
        <v>1047</v>
      </c>
      <c r="E381" t="s">
        <v>349</v>
      </c>
      <c r="F381" t="s">
        <v>88</v>
      </c>
      <c r="G381">
        <v>39.851387000000003</v>
      </c>
      <c r="H381">
        <v>-85.883612999999997</v>
      </c>
      <c r="I381">
        <v>2</v>
      </c>
      <c r="K381" t="s">
        <v>107</v>
      </c>
      <c r="L381">
        <v>1</v>
      </c>
      <c r="M381" t="s">
        <v>147</v>
      </c>
      <c r="N381" t="s">
        <v>91</v>
      </c>
      <c r="O381" t="s">
        <v>92</v>
      </c>
      <c r="S381" t="s">
        <v>108</v>
      </c>
      <c r="T381" t="s">
        <v>102</v>
      </c>
      <c r="U381" t="s">
        <v>150</v>
      </c>
    </row>
    <row r="382" spans="1:21" x14ac:dyDescent="0.3">
      <c r="A382" t="s">
        <v>1048</v>
      </c>
      <c r="B382" s="6" t="str">
        <f>HYPERLINK("http://data.ntsb.gov/carol-repgen/api/Aviation/ReportMain/GenerateNewestReport/99470/pdf","AccidentReport")</f>
        <v>AccidentReport</v>
      </c>
      <c r="C382" t="s">
        <v>1046</v>
      </c>
      <c r="D382" t="s">
        <v>1049</v>
      </c>
      <c r="E382" t="s">
        <v>641</v>
      </c>
      <c r="F382" t="s">
        <v>88</v>
      </c>
      <c r="G382">
        <v>32.120277000000002</v>
      </c>
      <c r="H382">
        <v>-90.312774000000005</v>
      </c>
      <c r="K382" t="s">
        <v>89</v>
      </c>
      <c r="L382">
        <v>1</v>
      </c>
      <c r="M382" t="s">
        <v>147</v>
      </c>
      <c r="N382" t="s">
        <v>91</v>
      </c>
      <c r="O382" t="s">
        <v>92</v>
      </c>
      <c r="S382" t="s">
        <v>108</v>
      </c>
      <c r="T382" t="s">
        <v>159</v>
      </c>
      <c r="U382" t="s">
        <v>119</v>
      </c>
    </row>
    <row r="383" spans="1:21" x14ac:dyDescent="0.3">
      <c r="A383" t="s">
        <v>1050</v>
      </c>
      <c r="B383" s="6" t="str">
        <f>HYPERLINK("http://data.ntsb.gov/carol-repgen/api/Aviation/ReportMain/GenerateNewestReport/99473/pdf","AccidentReport")</f>
        <v>AccidentReport</v>
      </c>
      <c r="C383" t="s">
        <v>1046</v>
      </c>
      <c r="D383" t="s">
        <v>1051</v>
      </c>
      <c r="E383" t="s">
        <v>265</v>
      </c>
      <c r="F383" t="s">
        <v>88</v>
      </c>
      <c r="G383">
        <v>38.009998000000003</v>
      </c>
      <c r="H383">
        <v>-77.967224000000002</v>
      </c>
      <c r="K383" t="s">
        <v>89</v>
      </c>
      <c r="L383">
        <v>1</v>
      </c>
      <c r="M383" t="s">
        <v>90</v>
      </c>
      <c r="N383" t="s">
        <v>91</v>
      </c>
      <c r="O383" t="s">
        <v>92</v>
      </c>
      <c r="S383" t="s">
        <v>108</v>
      </c>
      <c r="T383" t="s">
        <v>94</v>
      </c>
      <c r="U383" t="s">
        <v>95</v>
      </c>
    </row>
    <row r="384" spans="1:21" x14ac:dyDescent="0.3">
      <c r="A384" t="s">
        <v>1052</v>
      </c>
      <c r="B384" s="6" t="str">
        <f>HYPERLINK("http://data.ntsb.gov/carol-repgen/api/Aviation/ReportMain/GenerateNewestReport/99466/pdf","AccidentReport")</f>
        <v>AccidentReport</v>
      </c>
      <c r="C384" t="s">
        <v>1046</v>
      </c>
      <c r="D384" t="s">
        <v>305</v>
      </c>
      <c r="E384" t="s">
        <v>128</v>
      </c>
      <c r="F384" t="s">
        <v>88</v>
      </c>
      <c r="G384">
        <v>34.020277999999998</v>
      </c>
      <c r="H384">
        <v>-106.90194700000001</v>
      </c>
      <c r="K384" t="s">
        <v>89</v>
      </c>
      <c r="L384">
        <v>1</v>
      </c>
      <c r="M384" t="s">
        <v>90</v>
      </c>
      <c r="N384" t="s">
        <v>91</v>
      </c>
      <c r="O384" t="s">
        <v>92</v>
      </c>
      <c r="S384" t="s">
        <v>108</v>
      </c>
      <c r="T384" t="s">
        <v>94</v>
      </c>
      <c r="U384" t="s">
        <v>95</v>
      </c>
    </row>
    <row r="385" spans="1:21" x14ac:dyDescent="0.3">
      <c r="A385" t="s">
        <v>1053</v>
      </c>
      <c r="B385" s="6" t="str">
        <f>HYPERLINK("http://data.ntsb.gov/carol-repgen/api/Aviation/ReportMain/GenerateNewestReport/99472/pdf","AccidentReport")</f>
        <v>AccidentReport</v>
      </c>
      <c r="C385" t="s">
        <v>1054</v>
      </c>
      <c r="D385" t="s">
        <v>1055</v>
      </c>
      <c r="E385" t="s">
        <v>154</v>
      </c>
      <c r="F385" t="s">
        <v>88</v>
      </c>
      <c r="G385">
        <v>33.204444000000002</v>
      </c>
      <c r="H385">
        <v>-96.746664999999993</v>
      </c>
      <c r="J385">
        <v>2</v>
      </c>
      <c r="K385" t="s">
        <v>99</v>
      </c>
      <c r="L385">
        <v>1</v>
      </c>
      <c r="M385" t="s">
        <v>147</v>
      </c>
      <c r="N385" t="s">
        <v>91</v>
      </c>
      <c r="O385" t="s">
        <v>92</v>
      </c>
      <c r="S385" t="s">
        <v>108</v>
      </c>
      <c r="T385" t="s">
        <v>109</v>
      </c>
      <c r="U385" t="s">
        <v>95</v>
      </c>
    </row>
    <row r="386" spans="1:21" x14ac:dyDescent="0.3">
      <c r="A386" t="s">
        <v>1056</v>
      </c>
      <c r="B386" s="6" t="str">
        <f>HYPERLINK("http://data.ntsb.gov/carol-repgen/api/Aviation/ReportMain/GenerateNewestReport/99601/pdf","AccidentReport")</f>
        <v>AccidentReport</v>
      </c>
      <c r="C386" t="s">
        <v>1054</v>
      </c>
      <c r="D386" t="s">
        <v>1057</v>
      </c>
      <c r="E386" t="s">
        <v>265</v>
      </c>
      <c r="F386" t="s">
        <v>88</v>
      </c>
      <c r="G386">
        <v>38.398055999999997</v>
      </c>
      <c r="H386">
        <v>-77.455557999999996</v>
      </c>
      <c r="K386" t="s">
        <v>89</v>
      </c>
      <c r="L386">
        <v>1</v>
      </c>
      <c r="M386" t="s">
        <v>90</v>
      </c>
      <c r="N386" t="s">
        <v>91</v>
      </c>
      <c r="O386" t="s">
        <v>92</v>
      </c>
      <c r="S386" t="s">
        <v>108</v>
      </c>
      <c r="T386" t="s">
        <v>94</v>
      </c>
      <c r="U386" t="s">
        <v>95</v>
      </c>
    </row>
    <row r="387" spans="1:21" x14ac:dyDescent="0.3">
      <c r="A387" t="s">
        <v>1058</v>
      </c>
      <c r="B387" s="6" t="str">
        <f>HYPERLINK("http://data.ntsb.gov/carol-repgen/api/Aviation/ReportMain/GenerateNewestReport/99475/pdf","AccidentReport")</f>
        <v>AccidentReport</v>
      </c>
      <c r="C387" t="s">
        <v>1054</v>
      </c>
      <c r="D387" t="s">
        <v>1059</v>
      </c>
      <c r="E387" t="s">
        <v>360</v>
      </c>
      <c r="F387" t="s">
        <v>88</v>
      </c>
      <c r="G387">
        <v>39.651668000000001</v>
      </c>
      <c r="H387">
        <v>-90.809996999999996</v>
      </c>
      <c r="K387" t="s">
        <v>155</v>
      </c>
      <c r="L387">
        <v>1</v>
      </c>
      <c r="M387" t="s">
        <v>90</v>
      </c>
      <c r="N387" t="s">
        <v>100</v>
      </c>
      <c r="O387" t="s">
        <v>169</v>
      </c>
      <c r="S387" t="s">
        <v>515</v>
      </c>
      <c r="T387" t="s">
        <v>113</v>
      </c>
      <c r="U387" t="s">
        <v>103</v>
      </c>
    </row>
    <row r="388" spans="1:21" x14ac:dyDescent="0.3">
      <c r="A388" t="s">
        <v>1060</v>
      </c>
      <c r="B388" s="6" t="str">
        <f>HYPERLINK("http://data.ntsb.gov/carol-repgen/api/Aviation/ReportMain/GenerateNewestReport/99479/pdf","AccidentReport")</f>
        <v>AccidentReport</v>
      </c>
      <c r="C388" t="s">
        <v>1054</v>
      </c>
      <c r="D388" t="s">
        <v>1061</v>
      </c>
      <c r="E388" t="s">
        <v>360</v>
      </c>
      <c r="F388" t="s">
        <v>88</v>
      </c>
      <c r="G388">
        <v>38.570278000000002</v>
      </c>
      <c r="H388">
        <v>-90.154998000000006</v>
      </c>
      <c r="K388" t="s">
        <v>89</v>
      </c>
      <c r="L388">
        <v>1</v>
      </c>
      <c r="M388" t="s">
        <v>90</v>
      </c>
      <c r="N388" t="s">
        <v>100</v>
      </c>
      <c r="O388" t="s">
        <v>92</v>
      </c>
      <c r="S388" t="s">
        <v>93</v>
      </c>
      <c r="T388" t="s">
        <v>94</v>
      </c>
      <c r="U388" t="s">
        <v>95</v>
      </c>
    </row>
    <row r="389" spans="1:21" x14ac:dyDescent="0.3">
      <c r="A389" t="s">
        <v>1062</v>
      </c>
      <c r="B389" s="6" t="str">
        <f>HYPERLINK("http://data.ntsb.gov/carol-repgen/api/Aviation/ReportMain/GenerateNewestReport/99548/pdf","AccidentReport")</f>
        <v>AccidentReport</v>
      </c>
      <c r="C389" t="s">
        <v>1054</v>
      </c>
      <c r="D389" t="s">
        <v>1063</v>
      </c>
      <c r="E389" t="s">
        <v>125</v>
      </c>
      <c r="F389" t="s">
        <v>88</v>
      </c>
      <c r="G389">
        <v>31.417777999999998</v>
      </c>
      <c r="H389">
        <v>-110.84777800000001</v>
      </c>
      <c r="K389" t="s">
        <v>89</v>
      </c>
      <c r="L389">
        <v>1</v>
      </c>
      <c r="M389" t="s">
        <v>90</v>
      </c>
      <c r="N389" t="s">
        <v>91</v>
      </c>
      <c r="O389" t="s">
        <v>92</v>
      </c>
      <c r="S389" t="s">
        <v>93</v>
      </c>
      <c r="T389" t="s">
        <v>220</v>
      </c>
      <c r="U389" t="s">
        <v>221</v>
      </c>
    </row>
    <row r="390" spans="1:21" x14ac:dyDescent="0.3">
      <c r="A390" t="s">
        <v>1064</v>
      </c>
      <c r="B390" s="6" t="str">
        <f>HYPERLINK("http://data.ntsb.gov/carol-repgen/api/Aviation/ReportMain/GenerateNewestReport/99484/pdf","AccidentReport")</f>
        <v>AccidentReport</v>
      </c>
      <c r="C390" t="s">
        <v>1065</v>
      </c>
      <c r="D390" t="s">
        <v>301</v>
      </c>
      <c r="E390" t="s">
        <v>301</v>
      </c>
      <c r="F390" t="s">
        <v>88</v>
      </c>
      <c r="G390">
        <v>37.634193000000003</v>
      </c>
      <c r="H390">
        <v>-72.860900000000001</v>
      </c>
      <c r="I390">
        <v>1</v>
      </c>
      <c r="K390" t="s">
        <v>107</v>
      </c>
      <c r="L390">
        <v>1</v>
      </c>
      <c r="M390" t="s">
        <v>147</v>
      </c>
      <c r="N390" t="s">
        <v>91</v>
      </c>
      <c r="O390" t="s">
        <v>92</v>
      </c>
      <c r="S390" t="s">
        <v>166</v>
      </c>
      <c r="T390" t="s">
        <v>381</v>
      </c>
      <c r="U390" t="s">
        <v>186</v>
      </c>
    </row>
    <row r="391" spans="1:21" x14ac:dyDescent="0.3">
      <c r="A391" t="s">
        <v>1066</v>
      </c>
      <c r="B391" s="6" t="str">
        <f>HYPERLINK("http://data.ntsb.gov/carol-repgen/api/Aviation/ReportMain/GenerateNewestReport/99492/pdf","AccidentReport")</f>
        <v>AccidentReport</v>
      </c>
      <c r="C391" t="s">
        <v>1065</v>
      </c>
      <c r="D391" t="s">
        <v>1067</v>
      </c>
      <c r="E391" t="s">
        <v>122</v>
      </c>
      <c r="F391" t="s">
        <v>88</v>
      </c>
      <c r="G391">
        <v>45.921112000000001</v>
      </c>
      <c r="H391">
        <v>-116.217781</v>
      </c>
      <c r="K391" t="s">
        <v>89</v>
      </c>
      <c r="L391">
        <v>1</v>
      </c>
      <c r="M391" t="s">
        <v>90</v>
      </c>
      <c r="N391" t="s">
        <v>91</v>
      </c>
      <c r="O391" t="s">
        <v>92</v>
      </c>
      <c r="S391" t="s">
        <v>108</v>
      </c>
      <c r="T391" t="s">
        <v>102</v>
      </c>
      <c r="U391" t="s">
        <v>103</v>
      </c>
    </row>
    <row r="392" spans="1:21" x14ac:dyDescent="0.3">
      <c r="A392" t="s">
        <v>1068</v>
      </c>
      <c r="B392" s="6" t="str">
        <f>HYPERLINK("http://data.ntsb.gov/carol-repgen/api/Aviation/ReportMain/GenerateNewestReport/99493/pdf","AccidentReport")</f>
        <v>AccidentReport</v>
      </c>
      <c r="C392" t="s">
        <v>1065</v>
      </c>
      <c r="D392" t="s">
        <v>567</v>
      </c>
      <c r="E392" t="s">
        <v>106</v>
      </c>
      <c r="F392" t="s">
        <v>88</v>
      </c>
      <c r="G392">
        <v>33.951946</v>
      </c>
      <c r="H392">
        <v>-117.444999</v>
      </c>
      <c r="K392" t="s">
        <v>89</v>
      </c>
      <c r="L392">
        <v>1</v>
      </c>
      <c r="M392" t="s">
        <v>90</v>
      </c>
      <c r="N392" t="s">
        <v>100</v>
      </c>
      <c r="O392" t="s">
        <v>92</v>
      </c>
      <c r="S392" t="s">
        <v>93</v>
      </c>
      <c r="T392" t="s">
        <v>109</v>
      </c>
      <c r="U392" t="s">
        <v>95</v>
      </c>
    </row>
    <row r="393" spans="1:21" x14ac:dyDescent="0.3">
      <c r="A393" t="s">
        <v>1069</v>
      </c>
      <c r="B393" s="6" t="str">
        <f>HYPERLINK("http://data.ntsb.gov/carol-repgen/api/Aviation/ReportMain/GenerateNewestReport/99477/pdf","AccidentReport")</f>
        <v>AccidentReport</v>
      </c>
      <c r="C393" t="s">
        <v>1065</v>
      </c>
      <c r="D393" t="s">
        <v>1070</v>
      </c>
      <c r="E393" t="s">
        <v>192</v>
      </c>
      <c r="F393" t="s">
        <v>88</v>
      </c>
      <c r="G393">
        <v>38.174446000000003</v>
      </c>
      <c r="H393">
        <v>-111.24861</v>
      </c>
      <c r="I393">
        <v>2</v>
      </c>
      <c r="K393" t="s">
        <v>107</v>
      </c>
      <c r="L393">
        <v>1</v>
      </c>
      <c r="M393" t="s">
        <v>147</v>
      </c>
      <c r="N393" t="s">
        <v>91</v>
      </c>
      <c r="O393" t="s">
        <v>92</v>
      </c>
      <c r="S393" t="s">
        <v>108</v>
      </c>
      <c r="T393" t="s">
        <v>1071</v>
      </c>
      <c r="U393" t="s">
        <v>186</v>
      </c>
    </row>
    <row r="394" spans="1:21" x14ac:dyDescent="0.3">
      <c r="A394" t="s">
        <v>1072</v>
      </c>
      <c r="B394" s="6" t="str">
        <f>HYPERLINK("http://data.ntsb.gov/carol-repgen/api/Aviation/ReportMain/GenerateNewestReport/99483/pdf","AccidentReport")</f>
        <v>AccidentReport</v>
      </c>
      <c r="C394" t="s">
        <v>1073</v>
      </c>
      <c r="D394" t="s">
        <v>197</v>
      </c>
      <c r="E394" t="s">
        <v>154</v>
      </c>
      <c r="F394" t="s">
        <v>88</v>
      </c>
      <c r="G394">
        <v>30.281943999999999</v>
      </c>
      <c r="H394">
        <v>-98.857780000000005</v>
      </c>
      <c r="K394" t="s">
        <v>155</v>
      </c>
      <c r="L394">
        <v>1</v>
      </c>
      <c r="M394" t="s">
        <v>90</v>
      </c>
      <c r="N394" t="s">
        <v>91</v>
      </c>
      <c r="O394" t="s">
        <v>92</v>
      </c>
      <c r="S394" t="s">
        <v>108</v>
      </c>
      <c r="T394" t="s">
        <v>118</v>
      </c>
      <c r="U394" t="s">
        <v>186</v>
      </c>
    </row>
    <row r="395" spans="1:21" x14ac:dyDescent="0.3">
      <c r="A395" t="s">
        <v>1074</v>
      </c>
      <c r="B395" s="6" t="str">
        <f>HYPERLINK("http://data.ntsb.gov/carol-repgen/api/Aviation/ReportMain/GenerateNewestReport/99496/pdf","AccidentReport")</f>
        <v>AccidentReport</v>
      </c>
      <c r="C395" t="s">
        <v>1073</v>
      </c>
      <c r="D395" t="s">
        <v>1075</v>
      </c>
      <c r="E395" t="s">
        <v>479</v>
      </c>
      <c r="F395" t="s">
        <v>88</v>
      </c>
      <c r="G395">
        <v>46.096941999999999</v>
      </c>
      <c r="H395">
        <v>-97.919441000000006</v>
      </c>
      <c r="K395" t="s">
        <v>89</v>
      </c>
      <c r="L395">
        <v>1</v>
      </c>
      <c r="M395" t="s">
        <v>90</v>
      </c>
      <c r="N395" t="s">
        <v>91</v>
      </c>
      <c r="O395" t="s">
        <v>169</v>
      </c>
      <c r="S395" t="s">
        <v>515</v>
      </c>
      <c r="T395" t="s">
        <v>159</v>
      </c>
      <c r="U395" t="s">
        <v>103</v>
      </c>
    </row>
    <row r="396" spans="1:21" x14ac:dyDescent="0.3">
      <c r="A396" t="s">
        <v>1076</v>
      </c>
      <c r="B396" s="6" t="str">
        <f>HYPERLINK("http://data.ntsb.gov/carol-repgen/api/Aviation/ReportMain/GenerateNewestReport/99478/pdf","AccidentReport")</f>
        <v>AccidentReport</v>
      </c>
      <c r="C396" t="s">
        <v>1073</v>
      </c>
      <c r="D396" t="s">
        <v>1077</v>
      </c>
      <c r="E396" t="s">
        <v>356</v>
      </c>
      <c r="F396" t="s">
        <v>88</v>
      </c>
      <c r="G396">
        <v>31.232500000000002</v>
      </c>
      <c r="H396">
        <v>-81.354720999999998</v>
      </c>
      <c r="I396">
        <v>1</v>
      </c>
      <c r="K396" t="s">
        <v>107</v>
      </c>
      <c r="L396">
        <v>1</v>
      </c>
      <c r="M396" t="s">
        <v>147</v>
      </c>
      <c r="N396" t="s">
        <v>91</v>
      </c>
      <c r="O396" t="s">
        <v>92</v>
      </c>
      <c r="S396" t="s">
        <v>108</v>
      </c>
      <c r="T396" t="s">
        <v>102</v>
      </c>
      <c r="U396" t="s">
        <v>119</v>
      </c>
    </row>
    <row r="397" spans="1:21" x14ac:dyDescent="0.3">
      <c r="A397" t="s">
        <v>1078</v>
      </c>
      <c r="B397" s="6" t="str">
        <f>HYPERLINK("http://data.ntsb.gov/carol-repgen/api/Aviation/ReportMain/GenerateNewestReport/99494/pdf","AccidentReport")</f>
        <v>AccidentReport</v>
      </c>
      <c r="C397" t="s">
        <v>1073</v>
      </c>
      <c r="D397" t="s">
        <v>1079</v>
      </c>
      <c r="E397" t="s">
        <v>345</v>
      </c>
      <c r="F397" t="s">
        <v>88</v>
      </c>
      <c r="G397">
        <v>44.520277999999998</v>
      </c>
      <c r="H397">
        <v>-109.023887</v>
      </c>
      <c r="K397" t="s">
        <v>89</v>
      </c>
      <c r="L397">
        <v>1</v>
      </c>
      <c r="M397" t="s">
        <v>90</v>
      </c>
      <c r="N397" t="s">
        <v>91</v>
      </c>
      <c r="O397" t="s">
        <v>92</v>
      </c>
      <c r="S397" t="s">
        <v>93</v>
      </c>
      <c r="T397" t="s">
        <v>109</v>
      </c>
      <c r="U397" t="s">
        <v>95</v>
      </c>
    </row>
    <row r="398" spans="1:21" x14ac:dyDescent="0.3">
      <c r="A398" t="s">
        <v>1080</v>
      </c>
      <c r="B398" s="6" t="str">
        <f>HYPERLINK("http://data.ntsb.gov/carol-repgen/api/Aviation/ReportMain/GenerateNewestReport/99495/pdf","AccidentReport")</f>
        <v>AccidentReport</v>
      </c>
      <c r="C398" t="s">
        <v>1073</v>
      </c>
      <c r="D398" t="s">
        <v>1081</v>
      </c>
      <c r="E398" t="s">
        <v>233</v>
      </c>
      <c r="F398" t="s">
        <v>88</v>
      </c>
      <c r="G398">
        <v>63.001944999999999</v>
      </c>
      <c r="H398">
        <v>-156.36721800000001</v>
      </c>
      <c r="K398" t="s">
        <v>89</v>
      </c>
      <c r="L398">
        <v>1</v>
      </c>
      <c r="M398" t="s">
        <v>90</v>
      </c>
      <c r="N398" t="s">
        <v>91</v>
      </c>
      <c r="O398" t="s">
        <v>92</v>
      </c>
      <c r="S398" t="s">
        <v>108</v>
      </c>
      <c r="T398" t="s">
        <v>94</v>
      </c>
      <c r="U398" t="s">
        <v>248</v>
      </c>
    </row>
    <row r="399" spans="1:21" x14ac:dyDescent="0.3">
      <c r="A399" t="s">
        <v>1082</v>
      </c>
      <c r="B399" s="6" t="str">
        <f>HYPERLINK("http://data.ntsb.gov/carol-repgen/api/Aviation/ReportMain/GenerateNewestReport/99505/pdf","AccidentReport")</f>
        <v>AccidentReport</v>
      </c>
      <c r="C399" t="s">
        <v>1073</v>
      </c>
      <c r="D399" t="s">
        <v>1083</v>
      </c>
      <c r="E399" t="s">
        <v>709</v>
      </c>
      <c r="F399" t="s">
        <v>88</v>
      </c>
      <c r="G399">
        <v>41.446387999999999</v>
      </c>
      <c r="H399">
        <v>-72.457496000000006</v>
      </c>
      <c r="K399" t="s">
        <v>89</v>
      </c>
      <c r="L399">
        <v>1</v>
      </c>
      <c r="M399" t="s">
        <v>90</v>
      </c>
      <c r="N399" t="s">
        <v>91</v>
      </c>
      <c r="O399" t="s">
        <v>92</v>
      </c>
      <c r="S399" t="s">
        <v>108</v>
      </c>
      <c r="T399" t="s">
        <v>102</v>
      </c>
      <c r="U399" t="s">
        <v>248</v>
      </c>
    </row>
    <row r="400" spans="1:21" x14ac:dyDescent="0.3">
      <c r="A400" t="s">
        <v>1084</v>
      </c>
      <c r="B400" s="6" t="str">
        <f>HYPERLINK("http://data.ntsb.gov/carol-repgen/api/Aviation/ReportMain/GenerateNewestReport/99619/pdf","AccidentReport")</f>
        <v>AccidentReport</v>
      </c>
      <c r="C400" t="s">
        <v>1073</v>
      </c>
      <c r="D400" t="s">
        <v>1085</v>
      </c>
      <c r="E400" t="s">
        <v>98</v>
      </c>
      <c r="F400" t="s">
        <v>88</v>
      </c>
      <c r="G400">
        <v>27.541944000000001</v>
      </c>
      <c r="H400">
        <v>-80.833053000000007</v>
      </c>
      <c r="K400" t="s">
        <v>89</v>
      </c>
      <c r="L400">
        <v>1</v>
      </c>
      <c r="M400" t="s">
        <v>90</v>
      </c>
      <c r="N400" t="s">
        <v>91</v>
      </c>
      <c r="O400" t="s">
        <v>92</v>
      </c>
      <c r="S400" t="s">
        <v>108</v>
      </c>
      <c r="T400" t="s">
        <v>102</v>
      </c>
      <c r="U400" t="s">
        <v>248</v>
      </c>
    </row>
    <row r="401" spans="1:21" x14ac:dyDescent="0.3">
      <c r="A401" t="s">
        <v>1086</v>
      </c>
      <c r="B401" s="6" t="str">
        <f>HYPERLINK("http://data.ntsb.gov/carol-repgen/api/Aviation/ReportMain/GenerateNewestReport/99482/pdf","AccidentReport")</f>
        <v>AccidentReport</v>
      </c>
      <c r="C401" t="s">
        <v>1087</v>
      </c>
      <c r="D401" t="s">
        <v>1088</v>
      </c>
      <c r="E401" t="s">
        <v>360</v>
      </c>
      <c r="F401" t="s">
        <v>88</v>
      </c>
      <c r="G401">
        <v>42.342776999999998</v>
      </c>
      <c r="H401">
        <v>-88.896666999999994</v>
      </c>
      <c r="K401" t="s">
        <v>155</v>
      </c>
      <c r="L401">
        <v>1</v>
      </c>
      <c r="M401" t="s">
        <v>90</v>
      </c>
      <c r="N401" t="s">
        <v>91</v>
      </c>
      <c r="O401" t="s">
        <v>92</v>
      </c>
      <c r="S401" t="s">
        <v>108</v>
      </c>
      <c r="T401" t="s">
        <v>159</v>
      </c>
      <c r="U401" t="s">
        <v>186</v>
      </c>
    </row>
    <row r="402" spans="1:21" x14ac:dyDescent="0.3">
      <c r="A402" t="s">
        <v>1089</v>
      </c>
      <c r="B402" s="6" t="str">
        <f>HYPERLINK("http://data.ntsb.gov/carol-repgen/api/Aviation/ReportMain/GenerateNewestReport/99506/pdf","AccidentReport")</f>
        <v>AccidentReport</v>
      </c>
      <c r="C402" t="s">
        <v>1087</v>
      </c>
      <c r="D402" t="s">
        <v>1090</v>
      </c>
      <c r="E402" t="s">
        <v>360</v>
      </c>
      <c r="F402" t="s">
        <v>88</v>
      </c>
      <c r="G402">
        <v>37.778056999999997</v>
      </c>
      <c r="H402">
        <v>-89.251945000000006</v>
      </c>
      <c r="K402" t="s">
        <v>89</v>
      </c>
      <c r="L402">
        <v>1</v>
      </c>
      <c r="M402" t="s">
        <v>90</v>
      </c>
      <c r="N402" t="s">
        <v>91</v>
      </c>
      <c r="O402" t="s">
        <v>92</v>
      </c>
      <c r="S402" t="s">
        <v>108</v>
      </c>
      <c r="T402" t="s">
        <v>94</v>
      </c>
      <c r="U402" t="s">
        <v>95</v>
      </c>
    </row>
    <row r="403" spans="1:21" x14ac:dyDescent="0.3">
      <c r="A403" t="s">
        <v>1091</v>
      </c>
      <c r="B403" s="6" t="str">
        <f>HYPERLINK("http://data.ntsb.gov/carol-repgen/api/Aviation/ReportMain/GenerateNewestReport/99480/pdf","AccidentReport")</f>
        <v>AccidentReport</v>
      </c>
      <c r="C403" t="s">
        <v>1087</v>
      </c>
      <c r="D403" t="s">
        <v>1092</v>
      </c>
      <c r="E403" t="s">
        <v>106</v>
      </c>
      <c r="F403" t="s">
        <v>88</v>
      </c>
      <c r="G403">
        <v>40.088332999999999</v>
      </c>
      <c r="H403">
        <v>-123.807502</v>
      </c>
      <c r="J403">
        <v>1</v>
      </c>
      <c r="K403" t="s">
        <v>99</v>
      </c>
      <c r="L403">
        <v>1</v>
      </c>
      <c r="M403" t="s">
        <v>90</v>
      </c>
      <c r="N403" t="s">
        <v>91</v>
      </c>
      <c r="O403" t="s">
        <v>92</v>
      </c>
      <c r="S403" t="s">
        <v>108</v>
      </c>
      <c r="T403" t="s">
        <v>159</v>
      </c>
      <c r="U403" t="s">
        <v>248</v>
      </c>
    </row>
    <row r="404" spans="1:21" x14ac:dyDescent="0.3">
      <c r="A404" t="s">
        <v>1093</v>
      </c>
      <c r="B404" s="6" t="str">
        <f>HYPERLINK("http://data.ntsb.gov/carol-repgen/api/Aviation/ReportMain/GenerateNewestReport/99488/pdf","AccidentReport")</f>
        <v>AccidentReport</v>
      </c>
      <c r="C404" t="s">
        <v>1094</v>
      </c>
      <c r="D404" t="s">
        <v>1095</v>
      </c>
      <c r="F404" t="s">
        <v>874</v>
      </c>
      <c r="G404">
        <v>60.699722000000001</v>
      </c>
      <c r="H404">
        <v>-135.05389400000001</v>
      </c>
      <c r="I404">
        <v>2</v>
      </c>
      <c r="K404" t="s">
        <v>107</v>
      </c>
      <c r="L404">
        <v>1</v>
      </c>
      <c r="M404" t="s">
        <v>147</v>
      </c>
      <c r="N404" t="s">
        <v>91</v>
      </c>
      <c r="O404" t="s">
        <v>92</v>
      </c>
      <c r="S404" t="s">
        <v>108</v>
      </c>
      <c r="T404" t="s">
        <v>381</v>
      </c>
      <c r="U404" t="s">
        <v>248</v>
      </c>
    </row>
    <row r="405" spans="1:21" x14ac:dyDescent="0.3">
      <c r="A405" t="s">
        <v>1096</v>
      </c>
      <c r="B405" s="6" t="str">
        <f>HYPERLINK("http://data.ntsb.gov/carol-repgen/api/Aviation/ReportMain/GenerateNewestReport/99501/pdf","AccidentReport")</f>
        <v>AccidentReport</v>
      </c>
      <c r="C405" t="s">
        <v>1094</v>
      </c>
      <c r="D405" t="s">
        <v>1097</v>
      </c>
      <c r="E405" t="s">
        <v>98</v>
      </c>
      <c r="F405" t="s">
        <v>88</v>
      </c>
      <c r="G405">
        <v>27.163333000000002</v>
      </c>
      <c r="H405">
        <v>-80.285835000000006</v>
      </c>
      <c r="K405" t="s">
        <v>155</v>
      </c>
      <c r="L405">
        <v>1</v>
      </c>
      <c r="M405" t="s">
        <v>90</v>
      </c>
      <c r="N405" t="s">
        <v>91</v>
      </c>
      <c r="O405" t="s">
        <v>92</v>
      </c>
      <c r="S405" t="s">
        <v>108</v>
      </c>
      <c r="T405" t="s">
        <v>118</v>
      </c>
      <c r="U405" t="s">
        <v>119</v>
      </c>
    </row>
    <row r="406" spans="1:21" x14ac:dyDescent="0.3">
      <c r="A406" t="s">
        <v>1098</v>
      </c>
      <c r="B406" s="6" t="str">
        <f>HYPERLINK("http://data.ntsb.gov/carol-repgen/api/Aviation/ReportMain/GenerateNewestReport/99502/pdf","AccidentReport")</f>
        <v>AccidentReport</v>
      </c>
      <c r="C406" t="s">
        <v>1094</v>
      </c>
      <c r="D406" t="s">
        <v>1099</v>
      </c>
      <c r="E406" t="s">
        <v>356</v>
      </c>
      <c r="F406" t="s">
        <v>88</v>
      </c>
      <c r="G406">
        <v>33.044445000000003</v>
      </c>
      <c r="H406">
        <v>-84.432220000000001</v>
      </c>
      <c r="I406">
        <v>0</v>
      </c>
      <c r="J406">
        <v>0</v>
      </c>
      <c r="K406" t="s">
        <v>89</v>
      </c>
      <c r="L406">
        <v>1</v>
      </c>
      <c r="M406" t="s">
        <v>90</v>
      </c>
      <c r="N406" t="s">
        <v>91</v>
      </c>
      <c r="O406" t="s">
        <v>92</v>
      </c>
      <c r="S406" t="s">
        <v>108</v>
      </c>
      <c r="T406" t="s">
        <v>94</v>
      </c>
      <c r="U406" t="s">
        <v>95</v>
      </c>
    </row>
    <row r="407" spans="1:21" x14ac:dyDescent="0.3">
      <c r="A407" t="s">
        <v>1100</v>
      </c>
      <c r="B407" s="6" t="str">
        <f>HYPERLINK("http://data.ntsb.gov/carol-repgen/api/Aviation/ReportMain/GenerateNewestReport/99507/pdf","AccidentReport")</f>
        <v>AccidentReport</v>
      </c>
      <c r="C407" t="s">
        <v>1094</v>
      </c>
      <c r="D407" t="s">
        <v>1101</v>
      </c>
      <c r="E407" t="s">
        <v>613</v>
      </c>
      <c r="F407" t="s">
        <v>88</v>
      </c>
      <c r="G407">
        <v>35.503611999999997</v>
      </c>
      <c r="H407">
        <v>-91.006668000000005</v>
      </c>
      <c r="K407" t="s">
        <v>89</v>
      </c>
      <c r="L407">
        <v>1</v>
      </c>
      <c r="M407" t="s">
        <v>90</v>
      </c>
      <c r="N407" t="s">
        <v>91</v>
      </c>
      <c r="O407" t="s">
        <v>169</v>
      </c>
      <c r="S407" t="s">
        <v>515</v>
      </c>
      <c r="T407" t="s">
        <v>94</v>
      </c>
      <c r="U407" t="s">
        <v>248</v>
      </c>
    </row>
    <row r="408" spans="1:21" x14ac:dyDescent="0.3">
      <c r="A408" t="s">
        <v>1102</v>
      </c>
      <c r="B408" s="6" t="str">
        <f>HYPERLINK("http://data.ntsb.gov/carol-repgen/api/Aviation/ReportMain/GenerateNewestReport/99667/pdf","AccidentReport")</f>
        <v>AccidentReport</v>
      </c>
      <c r="C408" t="s">
        <v>1094</v>
      </c>
      <c r="D408" t="s">
        <v>1103</v>
      </c>
      <c r="E408" t="s">
        <v>536</v>
      </c>
      <c r="F408" t="s">
        <v>88</v>
      </c>
      <c r="G408">
        <v>38.941665</v>
      </c>
      <c r="H408">
        <v>-76.772498999999996</v>
      </c>
      <c r="K408" t="s">
        <v>89</v>
      </c>
      <c r="L408">
        <v>1</v>
      </c>
      <c r="M408" t="s">
        <v>90</v>
      </c>
      <c r="N408" t="s">
        <v>91</v>
      </c>
      <c r="O408" t="s">
        <v>92</v>
      </c>
      <c r="S408" t="s">
        <v>108</v>
      </c>
      <c r="T408" t="s">
        <v>109</v>
      </c>
      <c r="U408" t="s">
        <v>95</v>
      </c>
    </row>
    <row r="409" spans="1:21" x14ac:dyDescent="0.3">
      <c r="A409" t="s">
        <v>1104</v>
      </c>
      <c r="B409" s="6" t="str">
        <f>HYPERLINK("http://data.ntsb.gov/carol-repgen/api/Aviation/ReportMain/GenerateNewestReport/99487/pdf","AccidentReport")</f>
        <v>AccidentReport</v>
      </c>
      <c r="C409" t="s">
        <v>1105</v>
      </c>
      <c r="D409" t="s">
        <v>1106</v>
      </c>
      <c r="E409" t="s">
        <v>154</v>
      </c>
      <c r="F409" t="s">
        <v>88</v>
      </c>
      <c r="G409">
        <v>31.259727000000002</v>
      </c>
      <c r="H409">
        <v>-100.82004000000001</v>
      </c>
      <c r="I409">
        <v>1</v>
      </c>
      <c r="K409" t="s">
        <v>107</v>
      </c>
      <c r="L409">
        <v>1</v>
      </c>
      <c r="M409" t="s">
        <v>147</v>
      </c>
      <c r="N409" t="s">
        <v>91</v>
      </c>
      <c r="O409" t="s">
        <v>92</v>
      </c>
      <c r="S409" t="s">
        <v>108</v>
      </c>
      <c r="T409" t="s">
        <v>102</v>
      </c>
      <c r="U409" t="s">
        <v>186</v>
      </c>
    </row>
    <row r="410" spans="1:21" x14ac:dyDescent="0.3">
      <c r="A410" t="s">
        <v>1107</v>
      </c>
      <c r="B410" s="6" t="str">
        <f>HYPERLINK("http://data.ntsb.gov/carol-repgen/api/Aviation/ReportMain/GenerateNewestReport/99500/pdf","AccidentReport")</f>
        <v>AccidentReport</v>
      </c>
      <c r="C410" t="s">
        <v>1105</v>
      </c>
      <c r="D410" t="s">
        <v>1108</v>
      </c>
      <c r="E410" t="s">
        <v>142</v>
      </c>
      <c r="F410" t="s">
        <v>88</v>
      </c>
      <c r="G410">
        <v>41.375278000000002</v>
      </c>
      <c r="H410">
        <v>-81.193054000000004</v>
      </c>
      <c r="I410">
        <v>1</v>
      </c>
      <c r="K410" t="s">
        <v>107</v>
      </c>
      <c r="L410">
        <v>1</v>
      </c>
      <c r="M410" t="s">
        <v>147</v>
      </c>
      <c r="N410" t="s">
        <v>91</v>
      </c>
      <c r="O410" t="s">
        <v>92</v>
      </c>
      <c r="S410" t="s">
        <v>108</v>
      </c>
      <c r="T410" t="s">
        <v>102</v>
      </c>
      <c r="U410" t="s">
        <v>186</v>
      </c>
    </row>
    <row r="411" spans="1:21" x14ac:dyDescent="0.3">
      <c r="A411" t="s">
        <v>1109</v>
      </c>
      <c r="B411" s="6" t="str">
        <f>HYPERLINK("http://data.ntsb.gov/carol-repgen/api/Aviation/ReportMain/GenerateNewestReport/98901/pdf","AccidentReport")</f>
        <v>AccidentReport</v>
      </c>
      <c r="C411" t="s">
        <v>1105</v>
      </c>
      <c r="D411" t="s">
        <v>1110</v>
      </c>
      <c r="E411" t="s">
        <v>106</v>
      </c>
      <c r="F411" t="s">
        <v>88</v>
      </c>
      <c r="G411">
        <v>37.038055</v>
      </c>
      <c r="H411">
        <v>-121.11805699999999</v>
      </c>
      <c r="K411" t="s">
        <v>89</v>
      </c>
      <c r="L411">
        <v>1</v>
      </c>
      <c r="M411" t="s">
        <v>90</v>
      </c>
      <c r="N411" t="s">
        <v>91</v>
      </c>
      <c r="O411" t="s">
        <v>92</v>
      </c>
      <c r="S411" t="s">
        <v>108</v>
      </c>
      <c r="T411" t="s">
        <v>109</v>
      </c>
      <c r="U411" t="s">
        <v>95</v>
      </c>
    </row>
    <row r="412" spans="1:21" x14ac:dyDescent="0.3">
      <c r="A412" t="s">
        <v>1111</v>
      </c>
      <c r="B412" s="6" t="str">
        <f>HYPERLINK("http://data.ntsb.gov/carol-repgen/api/Aviation/ReportMain/GenerateNewestReport/99518/pdf","AccidentReport")</f>
        <v>AccidentReport</v>
      </c>
      <c r="C412" t="s">
        <v>1105</v>
      </c>
      <c r="D412" t="s">
        <v>1112</v>
      </c>
      <c r="E412" t="s">
        <v>402</v>
      </c>
      <c r="F412" t="s">
        <v>88</v>
      </c>
      <c r="G412">
        <v>32.224445000000003</v>
      </c>
      <c r="H412">
        <v>-80.697502</v>
      </c>
      <c r="K412" t="s">
        <v>89</v>
      </c>
      <c r="L412">
        <v>1</v>
      </c>
      <c r="M412" t="s">
        <v>90</v>
      </c>
      <c r="N412" t="s">
        <v>91</v>
      </c>
      <c r="O412" t="s">
        <v>92</v>
      </c>
      <c r="S412" t="s">
        <v>108</v>
      </c>
      <c r="T412" t="s">
        <v>109</v>
      </c>
      <c r="U412" t="s">
        <v>95</v>
      </c>
    </row>
    <row r="413" spans="1:21" x14ac:dyDescent="0.3">
      <c r="A413" t="s">
        <v>1113</v>
      </c>
      <c r="B413" s="6" t="str">
        <f>HYPERLINK("http://data.ntsb.gov/carol-repgen/api/Aviation/ReportMain/GenerateNewestReport/99595/pdf","AccidentReport")</f>
        <v>AccidentReport</v>
      </c>
      <c r="C413" t="s">
        <v>1105</v>
      </c>
      <c r="D413" t="s">
        <v>1114</v>
      </c>
      <c r="E413" t="s">
        <v>176</v>
      </c>
      <c r="F413" t="s">
        <v>88</v>
      </c>
      <c r="G413">
        <v>48.149642</v>
      </c>
      <c r="H413">
        <v>-119.82019</v>
      </c>
      <c r="K413" t="s">
        <v>155</v>
      </c>
      <c r="L413">
        <v>1</v>
      </c>
      <c r="M413" t="s">
        <v>90</v>
      </c>
      <c r="N413" t="s">
        <v>100</v>
      </c>
      <c r="O413" t="s">
        <v>92</v>
      </c>
      <c r="S413" t="s">
        <v>93</v>
      </c>
      <c r="T413" t="s">
        <v>332</v>
      </c>
      <c r="U413" t="s">
        <v>852</v>
      </c>
    </row>
    <row r="414" spans="1:21" x14ac:dyDescent="0.3">
      <c r="A414" t="s">
        <v>1115</v>
      </c>
      <c r="B414" s="6" t="str">
        <f>HYPERLINK("http://data.ntsb.gov/carol-repgen/api/Aviation/ReportMain/GenerateNewestReport/99513/pdf","AccidentReport")</f>
        <v>AccidentReport</v>
      </c>
      <c r="C414" t="s">
        <v>1116</v>
      </c>
      <c r="D414" t="s">
        <v>197</v>
      </c>
      <c r="E414" t="s">
        <v>154</v>
      </c>
      <c r="F414" t="s">
        <v>88</v>
      </c>
      <c r="G414">
        <v>30.270959000000001</v>
      </c>
      <c r="H414">
        <v>-98.870315000000005</v>
      </c>
      <c r="J414">
        <v>1</v>
      </c>
      <c r="K414" t="s">
        <v>99</v>
      </c>
      <c r="L414">
        <v>1</v>
      </c>
      <c r="M414" t="s">
        <v>90</v>
      </c>
      <c r="N414" t="s">
        <v>91</v>
      </c>
      <c r="O414" t="s">
        <v>92</v>
      </c>
      <c r="P414" t="s">
        <v>234</v>
      </c>
      <c r="Q414" t="s">
        <v>577</v>
      </c>
      <c r="S414" t="s">
        <v>108</v>
      </c>
      <c r="T414" t="s">
        <v>159</v>
      </c>
      <c r="U414" t="s">
        <v>186</v>
      </c>
    </row>
    <row r="415" spans="1:21" x14ac:dyDescent="0.3">
      <c r="A415" t="s">
        <v>1117</v>
      </c>
      <c r="B415" s="6" t="str">
        <f>HYPERLINK("http://data.ntsb.gov/carol-repgen/api/Aviation/ReportMain/GenerateNewestReport/99503/pdf","AccidentReport")</f>
        <v>AccidentReport</v>
      </c>
      <c r="C415" t="s">
        <v>1116</v>
      </c>
      <c r="D415" t="s">
        <v>1118</v>
      </c>
      <c r="E415" t="s">
        <v>98</v>
      </c>
      <c r="F415" t="s">
        <v>88</v>
      </c>
      <c r="G415">
        <v>29.957777</v>
      </c>
      <c r="H415">
        <v>-81.727217999999993</v>
      </c>
      <c r="I415">
        <v>1</v>
      </c>
      <c r="J415">
        <v>1</v>
      </c>
      <c r="K415" t="s">
        <v>107</v>
      </c>
      <c r="L415">
        <v>1</v>
      </c>
      <c r="M415" t="s">
        <v>147</v>
      </c>
      <c r="N415" t="s">
        <v>91</v>
      </c>
      <c r="O415" t="s">
        <v>92</v>
      </c>
      <c r="S415" t="s">
        <v>108</v>
      </c>
      <c r="T415" t="s">
        <v>287</v>
      </c>
      <c r="U415" t="s">
        <v>103</v>
      </c>
    </row>
    <row r="416" spans="1:21" x14ac:dyDescent="0.3">
      <c r="A416" t="s">
        <v>1117</v>
      </c>
      <c r="B416" s="6" t="str">
        <f>HYPERLINK("http://data.ntsb.gov/carol-repgen/api/Aviation/ReportMain/GenerateNewestReport/99503/pdf","AccidentReport")</f>
        <v>AccidentReport</v>
      </c>
      <c r="C416" t="s">
        <v>1116</v>
      </c>
      <c r="D416" t="s">
        <v>1118</v>
      </c>
      <c r="E416" t="s">
        <v>98</v>
      </c>
      <c r="F416" t="s">
        <v>88</v>
      </c>
      <c r="G416">
        <v>29.957777</v>
      </c>
      <c r="H416">
        <v>-81.727217999999993</v>
      </c>
      <c r="I416">
        <v>1</v>
      </c>
      <c r="J416">
        <v>1</v>
      </c>
      <c r="K416" t="s">
        <v>107</v>
      </c>
      <c r="L416">
        <v>2</v>
      </c>
      <c r="M416" t="s">
        <v>90</v>
      </c>
      <c r="N416" t="s">
        <v>91</v>
      </c>
      <c r="O416" t="s">
        <v>92</v>
      </c>
      <c r="S416" t="s">
        <v>108</v>
      </c>
      <c r="T416" t="s">
        <v>287</v>
      </c>
      <c r="U416" t="s">
        <v>103</v>
      </c>
    </row>
    <row r="417" spans="1:22" x14ac:dyDescent="0.3">
      <c r="A417" t="s">
        <v>1119</v>
      </c>
      <c r="B417" s="6" t="str">
        <f>HYPERLINK("http://data.ntsb.gov/carol-repgen/api/Aviation/ReportMain/GenerateNewestReport/99504/pdf","AccidentReport")</f>
        <v>AccidentReport</v>
      </c>
      <c r="C417" t="s">
        <v>1116</v>
      </c>
      <c r="D417" t="s">
        <v>1120</v>
      </c>
      <c r="E417" t="s">
        <v>390</v>
      </c>
      <c r="F417" t="s">
        <v>88</v>
      </c>
      <c r="G417">
        <v>38.925556</v>
      </c>
      <c r="H417">
        <v>-74.943054000000004</v>
      </c>
      <c r="I417">
        <v>1</v>
      </c>
      <c r="J417">
        <v>0</v>
      </c>
      <c r="K417" t="s">
        <v>107</v>
      </c>
      <c r="L417">
        <v>1</v>
      </c>
      <c r="M417" t="s">
        <v>90</v>
      </c>
      <c r="N417" t="s">
        <v>91</v>
      </c>
      <c r="O417" t="s">
        <v>92</v>
      </c>
      <c r="S417" t="s">
        <v>108</v>
      </c>
      <c r="T417" t="s">
        <v>442</v>
      </c>
      <c r="U417" t="s">
        <v>103</v>
      </c>
      <c r="V417" t="s">
        <v>2814</v>
      </c>
    </row>
    <row r="418" spans="1:22" x14ac:dyDescent="0.3">
      <c r="A418" t="s">
        <v>1121</v>
      </c>
      <c r="B418" s="6" t="str">
        <f>HYPERLINK("http://data.ntsb.gov/carol-repgen/api/Aviation/ReportMain/GenerateNewestReport/99519/pdf","AccidentReport")</f>
        <v>AccidentReport</v>
      </c>
      <c r="C418" t="s">
        <v>1116</v>
      </c>
      <c r="D418" t="s">
        <v>1122</v>
      </c>
      <c r="E418" t="s">
        <v>131</v>
      </c>
      <c r="F418" t="s">
        <v>88</v>
      </c>
      <c r="G418">
        <v>38.529997999999999</v>
      </c>
      <c r="H418">
        <v>-106.066665</v>
      </c>
      <c r="K418" t="s">
        <v>89</v>
      </c>
      <c r="L418">
        <v>1</v>
      </c>
      <c r="M418" t="s">
        <v>90</v>
      </c>
      <c r="N418" t="s">
        <v>91</v>
      </c>
      <c r="O418" t="s">
        <v>92</v>
      </c>
      <c r="S418" t="s">
        <v>108</v>
      </c>
      <c r="T418" t="s">
        <v>159</v>
      </c>
      <c r="U418" t="s">
        <v>95</v>
      </c>
    </row>
    <row r="419" spans="1:22" x14ac:dyDescent="0.3">
      <c r="A419" t="s">
        <v>1123</v>
      </c>
      <c r="B419" s="6" t="str">
        <f>HYPERLINK("http://data.ntsb.gov/carol-repgen/api/Aviation/ReportMain/GenerateNewestReport/99531/pdf","AccidentReport")</f>
        <v>AccidentReport</v>
      </c>
      <c r="C419" t="s">
        <v>1124</v>
      </c>
      <c r="D419" t="s">
        <v>864</v>
      </c>
      <c r="E419" t="s">
        <v>233</v>
      </c>
      <c r="F419" t="s">
        <v>88</v>
      </c>
      <c r="G419">
        <v>61.575831999999998</v>
      </c>
      <c r="H419">
        <v>-149.53165999999999</v>
      </c>
      <c r="I419">
        <v>1</v>
      </c>
      <c r="K419" t="s">
        <v>107</v>
      </c>
      <c r="L419">
        <v>1</v>
      </c>
      <c r="M419" t="s">
        <v>90</v>
      </c>
      <c r="N419" t="s">
        <v>91</v>
      </c>
      <c r="O419" t="s">
        <v>92</v>
      </c>
      <c r="S419" t="s">
        <v>108</v>
      </c>
      <c r="T419" t="s">
        <v>118</v>
      </c>
      <c r="U419" t="s">
        <v>248</v>
      </c>
    </row>
    <row r="420" spans="1:22" x14ac:dyDescent="0.3">
      <c r="A420" t="s">
        <v>1125</v>
      </c>
      <c r="B420" s="6" t="str">
        <f>HYPERLINK("http://data.ntsb.gov/carol-repgen/api/Aviation/ReportMain/GenerateNewestReport/99516/pdf","AccidentReport")</f>
        <v>AccidentReport</v>
      </c>
      <c r="C420" t="s">
        <v>1124</v>
      </c>
      <c r="D420" t="s">
        <v>1126</v>
      </c>
      <c r="E420" t="s">
        <v>154</v>
      </c>
      <c r="F420" t="s">
        <v>88</v>
      </c>
      <c r="G420">
        <v>32.390276999999998</v>
      </c>
      <c r="H420">
        <v>-97.433609000000004</v>
      </c>
      <c r="K420" t="s">
        <v>89</v>
      </c>
      <c r="L420">
        <v>1</v>
      </c>
      <c r="M420" t="s">
        <v>90</v>
      </c>
      <c r="N420" t="s">
        <v>91</v>
      </c>
      <c r="O420" t="s">
        <v>92</v>
      </c>
      <c r="S420" t="s">
        <v>173</v>
      </c>
      <c r="T420" t="s">
        <v>159</v>
      </c>
      <c r="U420" t="s">
        <v>186</v>
      </c>
    </row>
    <row r="421" spans="1:22" x14ac:dyDescent="0.3">
      <c r="A421" t="s">
        <v>1127</v>
      </c>
      <c r="B421" s="6" t="str">
        <f>HYPERLINK("http://data.ntsb.gov/carol-repgen/api/Aviation/ReportMain/GenerateNewestReport/99532/pdf","AccidentReport")</f>
        <v>AccidentReport</v>
      </c>
      <c r="C421" t="s">
        <v>1124</v>
      </c>
      <c r="D421" t="s">
        <v>1128</v>
      </c>
      <c r="E421" t="s">
        <v>233</v>
      </c>
      <c r="F421" t="s">
        <v>88</v>
      </c>
      <c r="G421">
        <v>64.36</v>
      </c>
      <c r="H421">
        <v>-147.36000000000001</v>
      </c>
      <c r="K421" t="s">
        <v>89</v>
      </c>
      <c r="L421">
        <v>1</v>
      </c>
      <c r="M421" t="s">
        <v>90</v>
      </c>
      <c r="N421" t="s">
        <v>91</v>
      </c>
      <c r="O421" t="s">
        <v>92</v>
      </c>
      <c r="S421" t="s">
        <v>108</v>
      </c>
      <c r="T421" t="s">
        <v>109</v>
      </c>
      <c r="U421" t="s">
        <v>95</v>
      </c>
    </row>
    <row r="422" spans="1:22" x14ac:dyDescent="0.3">
      <c r="A422" t="s">
        <v>1129</v>
      </c>
      <c r="B422" s="6" t="str">
        <f>HYPERLINK("http://data.ntsb.gov/carol-repgen/api/Aviation/ReportMain/GenerateNewestReport/99656/pdf","AccidentReport")</f>
        <v>AccidentReport</v>
      </c>
      <c r="C422" t="s">
        <v>1124</v>
      </c>
      <c r="D422" t="s">
        <v>1130</v>
      </c>
      <c r="E422" t="s">
        <v>457</v>
      </c>
      <c r="F422" t="s">
        <v>88</v>
      </c>
      <c r="G422">
        <v>38.193053999999997</v>
      </c>
      <c r="H422">
        <v>-90.385833000000005</v>
      </c>
      <c r="K422" t="s">
        <v>89</v>
      </c>
      <c r="L422">
        <v>1</v>
      </c>
      <c r="M422" t="s">
        <v>90</v>
      </c>
      <c r="N422" t="s">
        <v>91</v>
      </c>
      <c r="O422" t="s">
        <v>92</v>
      </c>
      <c r="S422" t="s">
        <v>108</v>
      </c>
      <c r="T422" t="s">
        <v>109</v>
      </c>
      <c r="U422" t="s">
        <v>95</v>
      </c>
    </row>
    <row r="423" spans="1:22" x14ac:dyDescent="0.3">
      <c r="A423" t="s">
        <v>1131</v>
      </c>
      <c r="B423" s="6" t="str">
        <f>HYPERLINK("http://data.ntsb.gov/carol-repgen/api/Aviation/ReportMain/GenerateNewestReport/99524/pdf","AccidentReport")</f>
        <v>AccidentReport</v>
      </c>
      <c r="C423" t="s">
        <v>1132</v>
      </c>
      <c r="D423" t="s">
        <v>1133</v>
      </c>
      <c r="E423" t="s">
        <v>360</v>
      </c>
      <c r="F423" t="s">
        <v>88</v>
      </c>
      <c r="G423">
        <v>38.148887000000002</v>
      </c>
      <c r="H423">
        <v>-89.698607999999993</v>
      </c>
      <c r="K423" t="s">
        <v>89</v>
      </c>
      <c r="L423">
        <v>1</v>
      </c>
      <c r="M423" t="s">
        <v>90</v>
      </c>
      <c r="N423" t="s">
        <v>91</v>
      </c>
      <c r="O423" t="s">
        <v>92</v>
      </c>
      <c r="S423" t="s">
        <v>108</v>
      </c>
      <c r="T423" t="s">
        <v>94</v>
      </c>
      <c r="U423" t="s">
        <v>95</v>
      </c>
    </row>
    <row r="424" spans="1:22" x14ac:dyDescent="0.3">
      <c r="A424" t="s">
        <v>1134</v>
      </c>
      <c r="B424" s="6" t="str">
        <f>HYPERLINK("http://data.ntsb.gov/carol-repgen/api/Aviation/ReportMain/GenerateNewestReport/99525/pdf","AccidentReport")</f>
        <v>AccidentReport</v>
      </c>
      <c r="C424" t="s">
        <v>1132</v>
      </c>
      <c r="D424" t="s">
        <v>1135</v>
      </c>
      <c r="E424" t="s">
        <v>154</v>
      </c>
      <c r="F424" t="s">
        <v>88</v>
      </c>
      <c r="G424">
        <v>29.743887999999998</v>
      </c>
      <c r="H424">
        <v>-98.453056000000004</v>
      </c>
      <c r="K424" t="s">
        <v>155</v>
      </c>
      <c r="L424">
        <v>1</v>
      </c>
      <c r="M424" t="s">
        <v>90</v>
      </c>
      <c r="N424" t="s">
        <v>91</v>
      </c>
      <c r="O424" t="s">
        <v>92</v>
      </c>
      <c r="S424" t="s">
        <v>108</v>
      </c>
      <c r="T424" t="s">
        <v>411</v>
      </c>
      <c r="U424" t="s">
        <v>95</v>
      </c>
    </row>
    <row r="425" spans="1:22" x14ac:dyDescent="0.3">
      <c r="A425" t="s">
        <v>1136</v>
      </c>
      <c r="B425" s="6" t="str">
        <f>HYPERLINK("http://data.ntsb.gov/carol-repgen/api/Aviation/ReportMain/GenerateNewestReport/99529/pdf","AccidentReport")</f>
        <v>AccidentReport</v>
      </c>
      <c r="C425" t="s">
        <v>1132</v>
      </c>
      <c r="D425" t="s">
        <v>1137</v>
      </c>
      <c r="E425" t="s">
        <v>142</v>
      </c>
      <c r="F425" t="s">
        <v>88</v>
      </c>
      <c r="G425">
        <v>40.614165999999997</v>
      </c>
      <c r="H425">
        <v>-84</v>
      </c>
      <c r="K425" t="s">
        <v>155</v>
      </c>
      <c r="L425">
        <v>1</v>
      </c>
      <c r="M425" t="s">
        <v>90</v>
      </c>
      <c r="N425" t="s">
        <v>91</v>
      </c>
      <c r="O425" t="s">
        <v>169</v>
      </c>
      <c r="S425" t="s">
        <v>515</v>
      </c>
      <c r="T425" t="s">
        <v>113</v>
      </c>
      <c r="U425" t="s">
        <v>103</v>
      </c>
    </row>
    <row r="426" spans="1:22" x14ac:dyDescent="0.3">
      <c r="A426" t="s">
        <v>1138</v>
      </c>
      <c r="B426" s="6" t="str">
        <f>HYPERLINK("http://data.ntsb.gov/carol-repgen/api/Aviation/ReportMain/GenerateNewestReport/99573/pdf","AccidentReport")</f>
        <v>AccidentReport</v>
      </c>
      <c r="C426" t="s">
        <v>1132</v>
      </c>
      <c r="D426" t="s">
        <v>1139</v>
      </c>
      <c r="E426" t="s">
        <v>142</v>
      </c>
      <c r="F426" t="s">
        <v>88</v>
      </c>
      <c r="G426">
        <v>40.959999000000003</v>
      </c>
      <c r="H426">
        <v>-80.680000000000007</v>
      </c>
      <c r="K426" t="s">
        <v>89</v>
      </c>
      <c r="L426">
        <v>1</v>
      </c>
      <c r="M426" t="s">
        <v>90</v>
      </c>
      <c r="N426" t="s">
        <v>91</v>
      </c>
      <c r="O426" t="s">
        <v>92</v>
      </c>
      <c r="S426" t="s">
        <v>108</v>
      </c>
      <c r="T426" t="s">
        <v>109</v>
      </c>
      <c r="U426" t="s">
        <v>95</v>
      </c>
    </row>
    <row r="427" spans="1:22" x14ac:dyDescent="0.3">
      <c r="A427" t="s">
        <v>1140</v>
      </c>
      <c r="B427" s="6" t="str">
        <f>HYPERLINK("http://data.ntsb.gov/carol-repgen/api/Aviation/ReportMain/GenerateNewestReport/99857/pdf","AccidentReport")</f>
        <v>AccidentReport</v>
      </c>
      <c r="C427" t="s">
        <v>1132</v>
      </c>
      <c r="D427" t="s">
        <v>1141</v>
      </c>
      <c r="E427" t="s">
        <v>709</v>
      </c>
      <c r="F427" t="s">
        <v>88</v>
      </c>
      <c r="G427">
        <v>41.744166999999997</v>
      </c>
      <c r="H427">
        <v>-72.180273999999997</v>
      </c>
      <c r="K427" t="s">
        <v>89</v>
      </c>
      <c r="L427">
        <v>1</v>
      </c>
      <c r="M427" t="s">
        <v>90</v>
      </c>
      <c r="N427" t="s">
        <v>91</v>
      </c>
      <c r="O427" t="s">
        <v>92</v>
      </c>
      <c r="S427" t="s">
        <v>108</v>
      </c>
      <c r="T427" t="s">
        <v>220</v>
      </c>
      <c r="U427" t="s">
        <v>221</v>
      </c>
    </row>
    <row r="428" spans="1:22" x14ac:dyDescent="0.3">
      <c r="A428" t="s">
        <v>1142</v>
      </c>
      <c r="B428" s="6" t="str">
        <f>HYPERLINK("http://data.ntsb.gov/carol-repgen/api/Aviation/ReportMain/GenerateNewestReport/98572/pdf","AccidentReport")</f>
        <v>AccidentReport</v>
      </c>
      <c r="C428" t="s">
        <v>1143</v>
      </c>
      <c r="D428" t="s">
        <v>1144</v>
      </c>
      <c r="E428" t="s">
        <v>399</v>
      </c>
      <c r="F428" t="s">
        <v>88</v>
      </c>
      <c r="G428">
        <v>38.540278999999998</v>
      </c>
      <c r="H428">
        <v>-94.920280000000005</v>
      </c>
      <c r="K428" t="s">
        <v>89</v>
      </c>
      <c r="L428">
        <v>1</v>
      </c>
      <c r="M428" t="s">
        <v>90</v>
      </c>
      <c r="N428" t="s">
        <v>91</v>
      </c>
      <c r="O428" t="s">
        <v>92</v>
      </c>
      <c r="S428" t="s">
        <v>108</v>
      </c>
      <c r="T428" t="s">
        <v>94</v>
      </c>
      <c r="U428" t="s">
        <v>95</v>
      </c>
    </row>
    <row r="429" spans="1:22" x14ac:dyDescent="0.3">
      <c r="A429" t="s">
        <v>1145</v>
      </c>
      <c r="B429" s="6" t="str">
        <f>HYPERLINK("http://data.ntsb.gov/carol-repgen/api/Aviation/ReportMain/GenerateNewestReport/99526/pdf","AccidentReport")</f>
        <v>AccidentReport</v>
      </c>
      <c r="C429" t="s">
        <v>1143</v>
      </c>
      <c r="D429" t="s">
        <v>1146</v>
      </c>
      <c r="E429" t="s">
        <v>399</v>
      </c>
      <c r="F429" t="s">
        <v>88</v>
      </c>
      <c r="G429">
        <v>37.562778000000002</v>
      </c>
      <c r="H429">
        <v>-97.064162999999994</v>
      </c>
      <c r="K429" t="s">
        <v>155</v>
      </c>
      <c r="L429">
        <v>1</v>
      </c>
      <c r="M429" t="s">
        <v>90</v>
      </c>
      <c r="N429" t="s">
        <v>91</v>
      </c>
      <c r="O429" t="s">
        <v>92</v>
      </c>
      <c r="S429" t="s">
        <v>108</v>
      </c>
      <c r="T429" t="s">
        <v>109</v>
      </c>
      <c r="U429" t="s">
        <v>95</v>
      </c>
    </row>
    <row r="430" spans="1:22" x14ac:dyDescent="0.3">
      <c r="A430" t="s">
        <v>1147</v>
      </c>
      <c r="B430" s="6" t="str">
        <f>HYPERLINK("http://data.ntsb.gov/carol-repgen/api/Aviation/ReportMain/GenerateNewestReport/99527/pdf","AccidentReport")</f>
        <v>AccidentReport</v>
      </c>
      <c r="C430" t="s">
        <v>1143</v>
      </c>
      <c r="D430" t="s">
        <v>1148</v>
      </c>
      <c r="E430" t="s">
        <v>192</v>
      </c>
      <c r="F430" t="s">
        <v>88</v>
      </c>
      <c r="G430">
        <v>40.481945000000003</v>
      </c>
      <c r="H430">
        <v>-111.428054</v>
      </c>
      <c r="K430" t="s">
        <v>89</v>
      </c>
      <c r="L430">
        <v>1</v>
      </c>
      <c r="M430" t="s">
        <v>90</v>
      </c>
      <c r="N430" t="s">
        <v>91</v>
      </c>
      <c r="O430" t="s">
        <v>92</v>
      </c>
      <c r="S430" t="s">
        <v>108</v>
      </c>
      <c r="T430" t="s">
        <v>102</v>
      </c>
      <c r="U430" t="s">
        <v>248</v>
      </c>
    </row>
    <row r="431" spans="1:22" x14ac:dyDescent="0.3">
      <c r="A431" t="s">
        <v>1149</v>
      </c>
      <c r="B431" s="6" t="str">
        <f>HYPERLINK("http://data.ntsb.gov/carol-repgen/api/Aviation/ReportMain/GenerateNewestReport/99530/pdf","AccidentReport")</f>
        <v>AccidentReport</v>
      </c>
      <c r="C431" t="s">
        <v>1143</v>
      </c>
      <c r="D431" t="s">
        <v>1150</v>
      </c>
      <c r="E431" t="s">
        <v>613</v>
      </c>
      <c r="F431" t="s">
        <v>88</v>
      </c>
      <c r="G431">
        <v>36.290832000000002</v>
      </c>
      <c r="H431">
        <v>-92.590277999999998</v>
      </c>
      <c r="K431" t="s">
        <v>89</v>
      </c>
      <c r="L431">
        <v>1</v>
      </c>
      <c r="M431" t="s">
        <v>90</v>
      </c>
      <c r="N431" t="s">
        <v>91</v>
      </c>
      <c r="O431" t="s">
        <v>92</v>
      </c>
      <c r="S431" t="s">
        <v>108</v>
      </c>
      <c r="T431" t="s">
        <v>414</v>
      </c>
      <c r="U431" t="s">
        <v>95</v>
      </c>
    </row>
    <row r="432" spans="1:22" x14ac:dyDescent="0.3">
      <c r="A432" t="s">
        <v>1151</v>
      </c>
      <c r="B432" s="6" t="str">
        <f>HYPERLINK("http://data.ntsb.gov/carol-repgen/api/Aviation/ReportMain/GenerateNewestReport/99536/pdf","AccidentReport")</f>
        <v>AccidentReport</v>
      </c>
      <c r="C432" t="s">
        <v>1143</v>
      </c>
      <c r="D432" t="s">
        <v>1152</v>
      </c>
      <c r="E432" t="s">
        <v>399</v>
      </c>
      <c r="F432" t="s">
        <v>88</v>
      </c>
      <c r="G432">
        <v>39.043334000000002</v>
      </c>
      <c r="H432">
        <v>-96.843329999999995</v>
      </c>
      <c r="K432" t="s">
        <v>89</v>
      </c>
      <c r="L432">
        <v>1</v>
      </c>
      <c r="M432" t="s">
        <v>90</v>
      </c>
      <c r="N432" t="s">
        <v>91</v>
      </c>
      <c r="O432" t="s">
        <v>92</v>
      </c>
      <c r="S432" t="s">
        <v>108</v>
      </c>
      <c r="T432" t="s">
        <v>94</v>
      </c>
      <c r="U432" t="s">
        <v>95</v>
      </c>
    </row>
    <row r="433" spans="1:21" x14ac:dyDescent="0.3">
      <c r="A433" t="s">
        <v>1153</v>
      </c>
      <c r="B433" s="6" t="str">
        <f>HYPERLINK("http://data.ntsb.gov/carol-repgen/api/Aviation/ReportMain/GenerateNewestReport/99538/pdf","AccidentReport")</f>
        <v>AccidentReport</v>
      </c>
      <c r="C433" t="s">
        <v>1154</v>
      </c>
      <c r="D433" t="s">
        <v>1155</v>
      </c>
      <c r="E433" t="s">
        <v>613</v>
      </c>
      <c r="F433" t="s">
        <v>88</v>
      </c>
      <c r="G433">
        <v>35.705275999999998</v>
      </c>
      <c r="H433">
        <v>-93.794998000000007</v>
      </c>
      <c r="I433">
        <v>3</v>
      </c>
      <c r="J433">
        <v>1</v>
      </c>
      <c r="K433" t="s">
        <v>107</v>
      </c>
      <c r="L433">
        <v>1</v>
      </c>
      <c r="M433" t="s">
        <v>90</v>
      </c>
      <c r="N433" t="s">
        <v>100</v>
      </c>
      <c r="O433" t="s">
        <v>92</v>
      </c>
      <c r="S433" t="s">
        <v>170</v>
      </c>
      <c r="T433" t="s">
        <v>159</v>
      </c>
      <c r="U433" t="s">
        <v>103</v>
      </c>
    </row>
    <row r="434" spans="1:21" x14ac:dyDescent="0.3">
      <c r="A434" t="s">
        <v>1156</v>
      </c>
      <c r="B434" s="6" t="str">
        <f>HYPERLINK("http://data.ntsb.gov/carol-repgen/api/Aviation/ReportMain/GenerateNewestReport/99528/pdf","AccidentReport")</f>
        <v>AccidentReport</v>
      </c>
      <c r="C434" t="s">
        <v>1154</v>
      </c>
      <c r="D434" t="s">
        <v>1157</v>
      </c>
      <c r="E434" t="s">
        <v>131</v>
      </c>
      <c r="F434" t="s">
        <v>88</v>
      </c>
      <c r="G434">
        <v>38.545833000000002</v>
      </c>
      <c r="H434">
        <v>-106.92527699999999</v>
      </c>
      <c r="K434" t="s">
        <v>89</v>
      </c>
      <c r="L434">
        <v>1</v>
      </c>
      <c r="M434" t="s">
        <v>90</v>
      </c>
      <c r="N434" t="s">
        <v>91</v>
      </c>
      <c r="O434" t="s">
        <v>92</v>
      </c>
      <c r="S434" t="s">
        <v>108</v>
      </c>
      <c r="T434" t="s">
        <v>94</v>
      </c>
      <c r="U434" t="s">
        <v>95</v>
      </c>
    </row>
    <row r="435" spans="1:21" x14ac:dyDescent="0.3">
      <c r="A435" t="s">
        <v>1158</v>
      </c>
      <c r="B435" s="6" t="str">
        <f>HYPERLINK("http://data.ntsb.gov/carol-repgen/api/Aviation/ReportMain/GenerateNewestReport/99534/pdf","AccidentReport")</f>
        <v>AccidentReport</v>
      </c>
      <c r="C435" t="s">
        <v>1154</v>
      </c>
      <c r="D435" t="s">
        <v>756</v>
      </c>
      <c r="E435" t="s">
        <v>131</v>
      </c>
      <c r="F435" t="s">
        <v>88</v>
      </c>
      <c r="G435">
        <v>39.569999000000003</v>
      </c>
      <c r="H435">
        <v>-104.849441</v>
      </c>
      <c r="K435" t="s">
        <v>89</v>
      </c>
      <c r="L435">
        <v>1</v>
      </c>
      <c r="M435" t="s">
        <v>90</v>
      </c>
      <c r="N435" t="s">
        <v>91</v>
      </c>
      <c r="O435" t="s">
        <v>92</v>
      </c>
      <c r="S435" t="s">
        <v>93</v>
      </c>
      <c r="T435" t="s">
        <v>109</v>
      </c>
      <c r="U435" t="s">
        <v>95</v>
      </c>
    </row>
    <row r="436" spans="1:21" x14ac:dyDescent="0.3">
      <c r="A436" t="s">
        <v>1159</v>
      </c>
      <c r="B436" s="6" t="str">
        <f>HYPERLINK("http://data.ntsb.gov/carol-repgen/api/Aviation/ReportMain/GenerateNewestReport/99541/pdf","AccidentReport")</f>
        <v>AccidentReport</v>
      </c>
      <c r="C436" t="s">
        <v>1154</v>
      </c>
      <c r="D436" t="s">
        <v>878</v>
      </c>
      <c r="E436" t="s">
        <v>125</v>
      </c>
      <c r="F436" t="s">
        <v>88</v>
      </c>
      <c r="G436">
        <v>34.848609000000003</v>
      </c>
      <c r="H436">
        <v>-111.78833</v>
      </c>
      <c r="K436" t="s">
        <v>155</v>
      </c>
      <c r="L436">
        <v>1</v>
      </c>
      <c r="M436" t="s">
        <v>90</v>
      </c>
      <c r="N436" t="s">
        <v>91</v>
      </c>
      <c r="O436" t="s">
        <v>92</v>
      </c>
      <c r="S436" t="s">
        <v>108</v>
      </c>
      <c r="T436" t="s">
        <v>109</v>
      </c>
      <c r="U436" t="s">
        <v>95</v>
      </c>
    </row>
    <row r="437" spans="1:21" x14ac:dyDescent="0.3">
      <c r="A437" t="s">
        <v>1160</v>
      </c>
      <c r="B437" s="6" t="str">
        <f>HYPERLINK("http://data.ntsb.gov/carol-repgen/api/Aviation/ReportMain/GenerateNewestReport/99547/pdf","AccidentReport")</f>
        <v>AccidentReport</v>
      </c>
      <c r="C437" t="s">
        <v>1161</v>
      </c>
      <c r="D437" t="s">
        <v>1162</v>
      </c>
      <c r="E437" t="s">
        <v>265</v>
      </c>
      <c r="F437" t="s">
        <v>88</v>
      </c>
      <c r="G437">
        <v>38.525554</v>
      </c>
      <c r="H437">
        <v>-77.859724999999997</v>
      </c>
      <c r="K437" t="s">
        <v>89</v>
      </c>
      <c r="L437">
        <v>1</v>
      </c>
      <c r="M437" t="s">
        <v>90</v>
      </c>
      <c r="N437" t="s">
        <v>91</v>
      </c>
      <c r="O437" t="s">
        <v>92</v>
      </c>
      <c r="S437" t="s">
        <v>93</v>
      </c>
      <c r="T437" t="s">
        <v>109</v>
      </c>
      <c r="U437" t="s">
        <v>95</v>
      </c>
    </row>
    <row r="438" spans="1:21" x14ac:dyDescent="0.3">
      <c r="A438" t="s">
        <v>1163</v>
      </c>
      <c r="B438" s="6" t="str">
        <f>HYPERLINK("http://data.ntsb.gov/carol-repgen/api/Aviation/ReportMain/GenerateNewestReport/99537/pdf","AccidentReport")</f>
        <v>AccidentReport</v>
      </c>
      <c r="C438" t="s">
        <v>1164</v>
      </c>
      <c r="D438" t="s">
        <v>1165</v>
      </c>
      <c r="E438" t="s">
        <v>265</v>
      </c>
      <c r="F438" t="s">
        <v>88</v>
      </c>
      <c r="G438">
        <v>38.721941999999999</v>
      </c>
      <c r="H438">
        <v>-77.517775999999998</v>
      </c>
      <c r="K438" t="s">
        <v>89</v>
      </c>
      <c r="L438">
        <v>1</v>
      </c>
      <c r="M438" t="s">
        <v>90</v>
      </c>
      <c r="N438" t="s">
        <v>100</v>
      </c>
      <c r="O438" t="s">
        <v>92</v>
      </c>
      <c r="S438" t="s">
        <v>418</v>
      </c>
      <c r="T438" t="s">
        <v>139</v>
      </c>
      <c r="U438" t="s">
        <v>1008</v>
      </c>
    </row>
    <row r="439" spans="1:21" x14ac:dyDescent="0.3">
      <c r="A439" t="s">
        <v>1166</v>
      </c>
      <c r="B439" s="6" t="str">
        <f>HYPERLINK("http://data.ntsb.gov/carol-repgen/api/Aviation/ReportMain/GenerateNewestReport/99555/pdf","AccidentReport")</f>
        <v>AccidentReport</v>
      </c>
      <c r="C439" t="s">
        <v>1164</v>
      </c>
      <c r="D439" t="s">
        <v>1167</v>
      </c>
      <c r="E439" t="s">
        <v>709</v>
      </c>
      <c r="F439" t="s">
        <v>88</v>
      </c>
      <c r="G439">
        <v>41.597503000000003</v>
      </c>
      <c r="H439">
        <v>-72.755836000000002</v>
      </c>
      <c r="I439">
        <v>0</v>
      </c>
      <c r="J439">
        <v>0</v>
      </c>
      <c r="K439" t="s">
        <v>155</v>
      </c>
      <c r="L439">
        <v>1</v>
      </c>
      <c r="M439" t="s">
        <v>90</v>
      </c>
      <c r="N439" t="s">
        <v>893</v>
      </c>
      <c r="O439" t="s">
        <v>92</v>
      </c>
      <c r="S439" t="s">
        <v>108</v>
      </c>
      <c r="T439" t="s">
        <v>749</v>
      </c>
      <c r="U439" t="s">
        <v>119</v>
      </c>
    </row>
    <row r="440" spans="1:21" x14ac:dyDescent="0.3">
      <c r="A440" t="s">
        <v>1168</v>
      </c>
      <c r="B440" s="6" t="str">
        <f>HYPERLINK("http://data.ntsb.gov/carol-repgen/api/Aviation/ReportMain/GenerateNewestReport/99545/pdf","AccidentReport")</f>
        <v>AccidentReport</v>
      </c>
      <c r="C440" t="s">
        <v>1164</v>
      </c>
      <c r="D440" t="s">
        <v>1169</v>
      </c>
      <c r="E440" t="s">
        <v>786</v>
      </c>
      <c r="F440" t="s">
        <v>88</v>
      </c>
      <c r="G440">
        <v>30.543333000000001</v>
      </c>
      <c r="H440">
        <v>-87.564719999999994</v>
      </c>
      <c r="K440" t="s">
        <v>155</v>
      </c>
      <c r="L440">
        <v>1</v>
      </c>
      <c r="M440" t="s">
        <v>90</v>
      </c>
      <c r="N440" t="s">
        <v>91</v>
      </c>
      <c r="O440" t="s">
        <v>92</v>
      </c>
      <c r="S440" t="s">
        <v>108</v>
      </c>
      <c r="T440" t="s">
        <v>94</v>
      </c>
      <c r="U440" t="s">
        <v>95</v>
      </c>
    </row>
    <row r="441" spans="1:21" x14ac:dyDescent="0.3">
      <c r="A441" t="s">
        <v>1170</v>
      </c>
      <c r="B441" s="6" t="str">
        <f>HYPERLINK("http://data.ntsb.gov/carol-repgen/api/Aviation/ReportMain/GenerateNewestReport/99549/pdf","AccidentReport")</f>
        <v>AccidentReport</v>
      </c>
      <c r="C441" t="s">
        <v>1164</v>
      </c>
      <c r="D441" t="s">
        <v>1171</v>
      </c>
      <c r="E441" t="s">
        <v>176</v>
      </c>
      <c r="F441" t="s">
        <v>88</v>
      </c>
      <c r="G441">
        <v>47.493057</v>
      </c>
      <c r="H441">
        <v>-122.215835</v>
      </c>
      <c r="K441" t="s">
        <v>89</v>
      </c>
      <c r="L441">
        <v>1</v>
      </c>
      <c r="M441" t="s">
        <v>90</v>
      </c>
      <c r="N441" t="s">
        <v>91</v>
      </c>
      <c r="O441" t="s">
        <v>92</v>
      </c>
      <c r="S441" t="s">
        <v>93</v>
      </c>
      <c r="T441" t="s">
        <v>94</v>
      </c>
      <c r="U441" t="s">
        <v>95</v>
      </c>
    </row>
    <row r="442" spans="1:21" x14ac:dyDescent="0.3">
      <c r="A442" t="s">
        <v>1172</v>
      </c>
      <c r="B442" s="6" t="str">
        <f>HYPERLINK("http://data.ntsb.gov/carol-repgen/api/Aviation/ReportMain/GenerateNewestReport/99550/pdf","AccidentReport")</f>
        <v>AccidentReport</v>
      </c>
      <c r="C442" t="s">
        <v>1164</v>
      </c>
      <c r="D442" t="s">
        <v>1173</v>
      </c>
      <c r="E442" t="s">
        <v>251</v>
      </c>
      <c r="F442" t="s">
        <v>88</v>
      </c>
      <c r="G442">
        <v>45.490833000000002</v>
      </c>
      <c r="H442">
        <v>-118.00888</v>
      </c>
      <c r="I442">
        <v>1</v>
      </c>
      <c r="K442" t="s">
        <v>107</v>
      </c>
      <c r="L442">
        <v>1</v>
      </c>
      <c r="M442" t="s">
        <v>147</v>
      </c>
      <c r="N442" t="s">
        <v>91</v>
      </c>
      <c r="O442" t="s">
        <v>92</v>
      </c>
      <c r="S442" t="s">
        <v>108</v>
      </c>
      <c r="T442" t="s">
        <v>113</v>
      </c>
      <c r="U442" t="s">
        <v>103</v>
      </c>
    </row>
    <row r="443" spans="1:21" x14ac:dyDescent="0.3">
      <c r="A443" t="s">
        <v>1174</v>
      </c>
      <c r="B443" s="6" t="str">
        <f>HYPERLINK("http://data.ntsb.gov/carol-repgen/api/Aviation/ReportMain/GenerateNewestReport/99554/pdf","AccidentReport")</f>
        <v>AccidentReport</v>
      </c>
      <c r="C443" t="s">
        <v>1175</v>
      </c>
      <c r="D443" t="s">
        <v>878</v>
      </c>
      <c r="E443" t="s">
        <v>125</v>
      </c>
      <c r="F443" t="s">
        <v>88</v>
      </c>
      <c r="G443">
        <v>34.823889999999999</v>
      </c>
      <c r="H443">
        <v>-111.907501</v>
      </c>
      <c r="J443">
        <v>1</v>
      </c>
      <c r="K443" t="s">
        <v>99</v>
      </c>
      <c r="L443">
        <v>1</v>
      </c>
      <c r="M443" t="s">
        <v>89</v>
      </c>
      <c r="N443" t="s">
        <v>670</v>
      </c>
      <c r="O443" t="s">
        <v>92</v>
      </c>
      <c r="S443" t="s">
        <v>173</v>
      </c>
      <c r="T443" t="s">
        <v>411</v>
      </c>
      <c r="U443" t="s">
        <v>95</v>
      </c>
    </row>
    <row r="444" spans="1:21" x14ac:dyDescent="0.3">
      <c r="A444" t="s">
        <v>1176</v>
      </c>
      <c r="B444" s="6" t="str">
        <f>HYPERLINK("http://data.ntsb.gov/carol-repgen/api/Aviation/ReportMain/GenerateNewestReport/99560/pdf","AccidentReport")</f>
        <v>AccidentReport</v>
      </c>
      <c r="C444" t="s">
        <v>1175</v>
      </c>
      <c r="D444" t="s">
        <v>1177</v>
      </c>
      <c r="E444" t="s">
        <v>233</v>
      </c>
      <c r="F444" t="s">
        <v>88</v>
      </c>
      <c r="G444">
        <v>59.039721999999998</v>
      </c>
      <c r="H444">
        <v>-158.457504</v>
      </c>
      <c r="K444" t="s">
        <v>89</v>
      </c>
      <c r="L444">
        <v>1</v>
      </c>
      <c r="M444" t="s">
        <v>90</v>
      </c>
      <c r="N444" t="s">
        <v>91</v>
      </c>
      <c r="O444" t="s">
        <v>92</v>
      </c>
      <c r="S444" t="s">
        <v>108</v>
      </c>
      <c r="T444" t="s">
        <v>94</v>
      </c>
      <c r="U444" t="s">
        <v>95</v>
      </c>
    </row>
    <row r="445" spans="1:21" x14ac:dyDescent="0.3">
      <c r="A445" t="s">
        <v>1178</v>
      </c>
      <c r="B445" s="6" t="str">
        <f>HYPERLINK("http://data.ntsb.gov/carol-repgen/api/Aviation/ReportMain/GenerateNewestReport/99561/pdf","AccidentReport")</f>
        <v>AccidentReport</v>
      </c>
      <c r="C445" t="s">
        <v>1175</v>
      </c>
      <c r="D445" t="s">
        <v>1179</v>
      </c>
      <c r="E445" t="s">
        <v>154</v>
      </c>
      <c r="F445" t="s">
        <v>88</v>
      </c>
      <c r="G445">
        <v>34.02111</v>
      </c>
      <c r="H445">
        <v>-100.327499</v>
      </c>
      <c r="K445" t="s">
        <v>89</v>
      </c>
      <c r="L445">
        <v>1</v>
      </c>
      <c r="M445" t="s">
        <v>90</v>
      </c>
      <c r="N445" t="s">
        <v>91</v>
      </c>
      <c r="O445" t="s">
        <v>92</v>
      </c>
      <c r="S445" t="s">
        <v>166</v>
      </c>
      <c r="T445" t="s">
        <v>94</v>
      </c>
      <c r="U445" t="s">
        <v>95</v>
      </c>
    </row>
    <row r="446" spans="1:21" x14ac:dyDescent="0.3">
      <c r="A446" t="s">
        <v>1180</v>
      </c>
      <c r="B446" s="6" t="str">
        <f>HYPERLINK("http://data.ntsb.gov/carol-repgen/api/Aviation/ReportMain/GenerateNewestReport/99559/pdf","AccidentReport")</f>
        <v>AccidentReport</v>
      </c>
      <c r="C446" t="s">
        <v>1181</v>
      </c>
      <c r="D446" t="s">
        <v>1182</v>
      </c>
      <c r="E446" t="s">
        <v>536</v>
      </c>
      <c r="F446" t="s">
        <v>88</v>
      </c>
      <c r="G446">
        <v>39.421664999999997</v>
      </c>
      <c r="H446">
        <v>-77.372221999999994</v>
      </c>
      <c r="I446">
        <v>0</v>
      </c>
      <c r="J446">
        <v>0</v>
      </c>
      <c r="K446" t="s">
        <v>155</v>
      </c>
      <c r="L446">
        <v>1</v>
      </c>
      <c r="M446" t="s">
        <v>90</v>
      </c>
      <c r="N446" t="s">
        <v>91</v>
      </c>
      <c r="O446" t="s">
        <v>92</v>
      </c>
      <c r="S446" t="s">
        <v>93</v>
      </c>
      <c r="T446" t="s">
        <v>229</v>
      </c>
      <c r="U446" t="s">
        <v>248</v>
      </c>
    </row>
    <row r="447" spans="1:21" x14ac:dyDescent="0.3">
      <c r="A447" t="s">
        <v>1183</v>
      </c>
      <c r="B447" s="6" t="str">
        <f>HYPERLINK("http://data.ntsb.gov/carol-repgen/api/Aviation/ReportMain/GenerateNewestReport/99614/pdf","AccidentReport")</f>
        <v>AccidentReport</v>
      </c>
      <c r="C447" t="s">
        <v>1181</v>
      </c>
      <c r="D447" t="s">
        <v>1184</v>
      </c>
      <c r="E447" t="s">
        <v>536</v>
      </c>
      <c r="F447" t="s">
        <v>88</v>
      </c>
      <c r="G447">
        <v>39.608333000000002</v>
      </c>
      <c r="H447">
        <v>-77.007773999999998</v>
      </c>
      <c r="K447" t="s">
        <v>89</v>
      </c>
      <c r="L447">
        <v>1</v>
      </c>
      <c r="M447" t="s">
        <v>90</v>
      </c>
      <c r="N447" t="s">
        <v>91</v>
      </c>
      <c r="O447" t="s">
        <v>92</v>
      </c>
      <c r="S447" t="s">
        <v>93</v>
      </c>
      <c r="T447" t="s">
        <v>247</v>
      </c>
      <c r="U447" t="s">
        <v>95</v>
      </c>
    </row>
    <row r="448" spans="1:21" x14ac:dyDescent="0.3">
      <c r="A448" t="s">
        <v>1185</v>
      </c>
      <c r="B448" s="6" t="str">
        <f>HYPERLINK("http://data.ntsb.gov/carol-repgen/api/Aviation/ReportMain/GenerateNewestReport/99574/pdf","AccidentReport")</f>
        <v>AccidentReport</v>
      </c>
      <c r="C448" t="s">
        <v>1181</v>
      </c>
      <c r="D448" t="s">
        <v>1186</v>
      </c>
      <c r="E448" t="s">
        <v>613</v>
      </c>
      <c r="F448" t="s">
        <v>88</v>
      </c>
      <c r="G448">
        <v>35.590277999999998</v>
      </c>
      <c r="H448">
        <v>-90.913612000000001</v>
      </c>
      <c r="K448" t="s">
        <v>89</v>
      </c>
      <c r="L448">
        <v>1</v>
      </c>
      <c r="M448" t="s">
        <v>90</v>
      </c>
      <c r="N448" t="s">
        <v>91</v>
      </c>
      <c r="O448" t="s">
        <v>92</v>
      </c>
      <c r="S448" t="s">
        <v>108</v>
      </c>
      <c r="T448" t="s">
        <v>94</v>
      </c>
      <c r="U448" t="s">
        <v>95</v>
      </c>
    </row>
    <row r="449" spans="1:21" x14ac:dyDescent="0.3">
      <c r="A449" t="s">
        <v>1187</v>
      </c>
      <c r="B449" s="6" t="str">
        <f>HYPERLINK("http://data.ntsb.gov/carol-repgen/api/Aviation/ReportMain/GenerateNewestReport/99597/pdf","AccidentReport")</f>
        <v>AccidentReport</v>
      </c>
      <c r="C449" t="s">
        <v>1181</v>
      </c>
      <c r="D449" t="s">
        <v>599</v>
      </c>
      <c r="E449" t="s">
        <v>349</v>
      </c>
      <c r="F449" t="s">
        <v>88</v>
      </c>
      <c r="G449">
        <v>40.412222999999997</v>
      </c>
      <c r="H449">
        <v>-86.936942999999999</v>
      </c>
      <c r="K449" t="s">
        <v>89</v>
      </c>
      <c r="L449">
        <v>1</v>
      </c>
      <c r="M449" t="s">
        <v>90</v>
      </c>
      <c r="N449" t="s">
        <v>91</v>
      </c>
      <c r="O449" t="s">
        <v>92</v>
      </c>
      <c r="S449" t="s">
        <v>93</v>
      </c>
      <c r="T449" t="s">
        <v>109</v>
      </c>
      <c r="U449" t="s">
        <v>95</v>
      </c>
    </row>
    <row r="450" spans="1:21" x14ac:dyDescent="0.3">
      <c r="A450" t="s">
        <v>1188</v>
      </c>
      <c r="B450" s="6" t="str">
        <f>HYPERLINK("http://data.ntsb.gov/carol-repgen/api/Aviation/ReportMain/GenerateNewestReport/99641/pdf","AccidentReport")</f>
        <v>AccidentReport</v>
      </c>
      <c r="C450" t="s">
        <v>1181</v>
      </c>
      <c r="D450" t="s">
        <v>1189</v>
      </c>
      <c r="E450" t="s">
        <v>233</v>
      </c>
      <c r="F450" t="s">
        <v>88</v>
      </c>
      <c r="G450">
        <v>60.792220999999998</v>
      </c>
      <c r="H450">
        <v>-161.764724</v>
      </c>
      <c r="K450" t="s">
        <v>89</v>
      </c>
      <c r="L450">
        <v>1</v>
      </c>
      <c r="M450" t="s">
        <v>90</v>
      </c>
      <c r="N450" t="s">
        <v>100</v>
      </c>
      <c r="O450" t="s">
        <v>462</v>
      </c>
      <c r="S450" t="s">
        <v>463</v>
      </c>
      <c r="T450" t="s">
        <v>159</v>
      </c>
      <c r="U450" t="s">
        <v>103</v>
      </c>
    </row>
    <row r="451" spans="1:21" x14ac:dyDescent="0.3">
      <c r="A451" t="s">
        <v>1190</v>
      </c>
      <c r="B451" s="6" t="str">
        <f>HYPERLINK("http://data.ntsb.gov/carol-repgen/api/Aviation/ReportMain/GenerateNewestReport/99566/pdf","AccidentReport")</f>
        <v>AccidentReport</v>
      </c>
      <c r="C451" t="s">
        <v>1181</v>
      </c>
      <c r="D451" t="s">
        <v>1191</v>
      </c>
      <c r="E451" t="s">
        <v>106</v>
      </c>
      <c r="F451" t="s">
        <v>88</v>
      </c>
      <c r="G451">
        <v>38.525275999999998</v>
      </c>
      <c r="H451">
        <v>-121.70388699999999</v>
      </c>
      <c r="K451" t="s">
        <v>89</v>
      </c>
      <c r="L451">
        <v>1</v>
      </c>
      <c r="M451" t="s">
        <v>90</v>
      </c>
      <c r="N451" t="s">
        <v>91</v>
      </c>
      <c r="O451" t="s">
        <v>92</v>
      </c>
      <c r="S451" t="s">
        <v>108</v>
      </c>
      <c r="T451" t="s">
        <v>159</v>
      </c>
      <c r="U451" t="s">
        <v>186</v>
      </c>
    </row>
    <row r="452" spans="1:21" x14ac:dyDescent="0.3">
      <c r="A452" t="s">
        <v>1192</v>
      </c>
      <c r="B452" s="6" t="str">
        <f>HYPERLINK("http://data.ntsb.gov/carol-repgen/api/Aviation/ReportMain/GenerateNewestReport/99567/pdf","AccidentReport")</f>
        <v>AccidentReport</v>
      </c>
      <c r="C452" t="s">
        <v>1193</v>
      </c>
      <c r="D452" t="s">
        <v>1194</v>
      </c>
      <c r="E452" t="s">
        <v>206</v>
      </c>
      <c r="F452" t="s">
        <v>88</v>
      </c>
      <c r="G452">
        <v>36.137222000000001</v>
      </c>
      <c r="H452">
        <v>-77.995834000000002</v>
      </c>
      <c r="I452">
        <v>4</v>
      </c>
      <c r="K452" t="s">
        <v>107</v>
      </c>
      <c r="L452">
        <v>1</v>
      </c>
      <c r="M452" t="s">
        <v>147</v>
      </c>
      <c r="N452" t="s">
        <v>91</v>
      </c>
      <c r="O452" t="s">
        <v>92</v>
      </c>
      <c r="S452" t="s">
        <v>108</v>
      </c>
      <c r="T452" t="s">
        <v>493</v>
      </c>
      <c r="U452" t="s">
        <v>186</v>
      </c>
    </row>
    <row r="453" spans="1:21" x14ac:dyDescent="0.3">
      <c r="A453" t="s">
        <v>1195</v>
      </c>
      <c r="B453" s="6" t="str">
        <f>HYPERLINK("http://data.ntsb.gov/carol-repgen/api/Aviation/ReportMain/GenerateNewestReport/99575/pdf","AccidentReport")</f>
        <v>AccidentReport</v>
      </c>
      <c r="C453" t="s">
        <v>1193</v>
      </c>
      <c r="D453" t="s">
        <v>250</v>
      </c>
      <c r="E453" t="s">
        <v>734</v>
      </c>
      <c r="F453" t="s">
        <v>88</v>
      </c>
      <c r="G453">
        <v>46.661109000000003</v>
      </c>
      <c r="H453">
        <v>-68.389442000000003</v>
      </c>
      <c r="K453" t="s">
        <v>89</v>
      </c>
      <c r="L453">
        <v>1</v>
      </c>
      <c r="M453" t="s">
        <v>90</v>
      </c>
      <c r="N453" t="s">
        <v>91</v>
      </c>
      <c r="O453" t="s">
        <v>92</v>
      </c>
      <c r="S453" t="s">
        <v>108</v>
      </c>
      <c r="T453" t="s">
        <v>94</v>
      </c>
      <c r="U453" t="s">
        <v>95</v>
      </c>
    </row>
    <row r="454" spans="1:21" x14ac:dyDescent="0.3">
      <c r="A454" t="s">
        <v>1196</v>
      </c>
      <c r="B454" s="6" t="str">
        <f>HYPERLINK("http://data.ntsb.gov/carol-repgen/api/Aviation/ReportMain/GenerateNewestReport/99584/pdf","AccidentReport")</f>
        <v>AccidentReport</v>
      </c>
      <c r="C454" t="s">
        <v>1193</v>
      </c>
      <c r="D454" t="s">
        <v>1197</v>
      </c>
      <c r="E454" t="s">
        <v>233</v>
      </c>
      <c r="F454" t="s">
        <v>88</v>
      </c>
      <c r="G454">
        <v>62.154997999999999</v>
      </c>
      <c r="H454">
        <v>-145.45443700000001</v>
      </c>
      <c r="K454" t="s">
        <v>89</v>
      </c>
      <c r="L454">
        <v>1</v>
      </c>
      <c r="M454" t="s">
        <v>90</v>
      </c>
      <c r="N454" t="s">
        <v>91</v>
      </c>
      <c r="O454" t="s">
        <v>92</v>
      </c>
      <c r="S454" t="s">
        <v>108</v>
      </c>
      <c r="T454" t="s">
        <v>94</v>
      </c>
      <c r="U454" t="s">
        <v>95</v>
      </c>
    </row>
    <row r="455" spans="1:21" x14ac:dyDescent="0.3">
      <c r="A455" t="s">
        <v>1198</v>
      </c>
      <c r="B455" s="6" t="str">
        <f>HYPERLINK("http://data.ntsb.gov/carol-repgen/api/Aviation/ReportMain/GenerateNewestReport/99596/pdf","AccidentReport")</f>
        <v>AccidentReport</v>
      </c>
      <c r="C455" t="s">
        <v>1193</v>
      </c>
      <c r="D455" t="s">
        <v>1199</v>
      </c>
      <c r="E455" t="s">
        <v>399</v>
      </c>
      <c r="F455" t="s">
        <v>88</v>
      </c>
      <c r="G455">
        <v>39.104441999999999</v>
      </c>
      <c r="H455">
        <v>-101.00722500000001</v>
      </c>
      <c r="K455" t="s">
        <v>155</v>
      </c>
      <c r="L455">
        <v>1</v>
      </c>
      <c r="M455" t="s">
        <v>90</v>
      </c>
      <c r="N455" t="s">
        <v>91</v>
      </c>
      <c r="O455" t="s">
        <v>169</v>
      </c>
      <c r="S455" t="s">
        <v>515</v>
      </c>
      <c r="T455" t="s">
        <v>102</v>
      </c>
      <c r="U455" t="s">
        <v>103</v>
      </c>
    </row>
    <row r="456" spans="1:21" x14ac:dyDescent="0.3">
      <c r="A456" t="s">
        <v>1200</v>
      </c>
      <c r="B456" s="6" t="str">
        <f>HYPERLINK("http://data.ntsb.gov/carol-repgen/api/Aviation/ReportMain/GenerateNewestReport/99598/pdf","AccidentReport")</f>
        <v>AccidentReport</v>
      </c>
      <c r="C456" t="s">
        <v>1193</v>
      </c>
      <c r="D456" t="s">
        <v>1201</v>
      </c>
      <c r="E456" t="s">
        <v>349</v>
      </c>
      <c r="F456" t="s">
        <v>88</v>
      </c>
      <c r="G456">
        <v>39.445835000000002</v>
      </c>
      <c r="H456">
        <v>-87.317222000000001</v>
      </c>
      <c r="K456" t="s">
        <v>89</v>
      </c>
      <c r="L456">
        <v>1</v>
      </c>
      <c r="M456" t="s">
        <v>90</v>
      </c>
      <c r="N456" t="s">
        <v>91</v>
      </c>
      <c r="O456" t="s">
        <v>92</v>
      </c>
      <c r="S456" t="s">
        <v>93</v>
      </c>
      <c r="T456" t="s">
        <v>102</v>
      </c>
      <c r="U456" t="s">
        <v>95</v>
      </c>
    </row>
    <row r="457" spans="1:21" x14ac:dyDescent="0.3">
      <c r="A457" t="s">
        <v>1202</v>
      </c>
      <c r="B457" s="6" t="str">
        <f>HYPERLINK("http://data.ntsb.gov/carol-repgen/api/Aviation/ReportMain/GenerateNewestReport/99599/pdf","AccidentReport")</f>
        <v>AccidentReport</v>
      </c>
      <c r="C457" t="s">
        <v>1193</v>
      </c>
      <c r="D457" t="s">
        <v>1203</v>
      </c>
      <c r="E457" t="s">
        <v>457</v>
      </c>
      <c r="F457" t="s">
        <v>88</v>
      </c>
      <c r="G457">
        <v>38.959167000000001</v>
      </c>
      <c r="H457">
        <v>-94.371948000000003</v>
      </c>
      <c r="K457" t="s">
        <v>155</v>
      </c>
      <c r="L457">
        <v>1</v>
      </c>
      <c r="M457" t="s">
        <v>90</v>
      </c>
      <c r="N457" t="s">
        <v>91</v>
      </c>
      <c r="O457" t="s">
        <v>92</v>
      </c>
      <c r="S457" t="s">
        <v>93</v>
      </c>
      <c r="T457" t="s">
        <v>102</v>
      </c>
      <c r="U457" t="s">
        <v>248</v>
      </c>
    </row>
    <row r="458" spans="1:21" x14ac:dyDescent="0.3">
      <c r="A458" t="s">
        <v>1204</v>
      </c>
      <c r="B458" s="6" t="str">
        <f>HYPERLINK("http://data.ntsb.gov/carol-repgen/api/Aviation/ReportMain/GenerateNewestReport/99647/pdf","AccidentReport")</f>
        <v>AccidentReport</v>
      </c>
      <c r="C458" t="s">
        <v>1193</v>
      </c>
      <c r="D458" t="s">
        <v>1205</v>
      </c>
      <c r="E458" t="s">
        <v>734</v>
      </c>
      <c r="F458" t="s">
        <v>88</v>
      </c>
      <c r="G458">
        <v>44.694465000000001</v>
      </c>
      <c r="H458">
        <v>-69.382247000000007</v>
      </c>
      <c r="K458" t="s">
        <v>89</v>
      </c>
      <c r="L458">
        <v>1</v>
      </c>
      <c r="M458" t="s">
        <v>90</v>
      </c>
      <c r="N458" t="s">
        <v>91</v>
      </c>
      <c r="O458" t="s">
        <v>92</v>
      </c>
      <c r="S458" t="s">
        <v>93</v>
      </c>
      <c r="T458" t="s">
        <v>94</v>
      </c>
      <c r="U458" t="s">
        <v>248</v>
      </c>
    </row>
    <row r="459" spans="1:21" x14ac:dyDescent="0.3">
      <c r="A459" t="s">
        <v>1206</v>
      </c>
      <c r="B459" s="6" t="str">
        <f>HYPERLINK("http://data.ntsb.gov/carol-repgen/api/Aviation/ReportMain/GenerateNewestReport/99660/pdf","AccidentReport")</f>
        <v>AccidentReport</v>
      </c>
      <c r="C459" t="s">
        <v>1193</v>
      </c>
      <c r="D459" t="s">
        <v>697</v>
      </c>
      <c r="E459" t="s">
        <v>128</v>
      </c>
      <c r="F459" t="s">
        <v>88</v>
      </c>
      <c r="G459">
        <v>35.617221000000001</v>
      </c>
      <c r="H459">
        <v>-106.08944700000001</v>
      </c>
      <c r="K459" t="s">
        <v>89</v>
      </c>
      <c r="L459">
        <v>1</v>
      </c>
      <c r="M459" t="s">
        <v>90</v>
      </c>
      <c r="N459" t="s">
        <v>91</v>
      </c>
      <c r="O459" t="s">
        <v>92</v>
      </c>
      <c r="S459" t="s">
        <v>108</v>
      </c>
      <c r="T459" t="s">
        <v>94</v>
      </c>
      <c r="U459" t="s">
        <v>95</v>
      </c>
    </row>
    <row r="460" spans="1:21" x14ac:dyDescent="0.3">
      <c r="A460" t="s">
        <v>1207</v>
      </c>
      <c r="B460" s="6" t="str">
        <f>HYPERLINK("http://data.ntsb.gov/carol-repgen/api/Aviation/ReportMain/GenerateNewestReport/99593/pdf","AccidentReport")</f>
        <v>AccidentReport</v>
      </c>
      <c r="C460" t="s">
        <v>1208</v>
      </c>
      <c r="D460" t="s">
        <v>1209</v>
      </c>
      <c r="E460" t="s">
        <v>131</v>
      </c>
      <c r="F460" t="s">
        <v>88</v>
      </c>
      <c r="G460">
        <v>39.787497999999999</v>
      </c>
      <c r="H460">
        <v>-103.77055300000001</v>
      </c>
      <c r="I460">
        <v>0</v>
      </c>
      <c r="J460">
        <v>0</v>
      </c>
      <c r="K460" t="s">
        <v>155</v>
      </c>
      <c r="L460">
        <v>1</v>
      </c>
      <c r="M460" t="s">
        <v>90</v>
      </c>
      <c r="N460" t="s">
        <v>100</v>
      </c>
      <c r="O460" t="s">
        <v>169</v>
      </c>
      <c r="S460" t="s">
        <v>515</v>
      </c>
      <c r="T460" t="s">
        <v>749</v>
      </c>
      <c r="U460" t="s">
        <v>103</v>
      </c>
    </row>
    <row r="461" spans="1:21" x14ac:dyDescent="0.3">
      <c r="A461" t="s">
        <v>1210</v>
      </c>
      <c r="B461" s="6" t="str">
        <f>HYPERLINK("http://data.ntsb.gov/carol-repgen/api/Aviation/ReportMain/GenerateNewestReport/99568/pdf","AccidentReport")</f>
        <v>AccidentReport</v>
      </c>
      <c r="C461" t="s">
        <v>1208</v>
      </c>
      <c r="D461" t="s">
        <v>1211</v>
      </c>
      <c r="E461" t="s">
        <v>651</v>
      </c>
      <c r="F461" t="s">
        <v>88</v>
      </c>
      <c r="G461">
        <v>40.987499</v>
      </c>
      <c r="H461">
        <v>-72.580000999999996</v>
      </c>
      <c r="I461">
        <v>2</v>
      </c>
      <c r="K461" t="s">
        <v>107</v>
      </c>
      <c r="L461">
        <v>1</v>
      </c>
      <c r="M461" t="s">
        <v>147</v>
      </c>
      <c r="N461" t="s">
        <v>91</v>
      </c>
      <c r="O461" t="s">
        <v>92</v>
      </c>
      <c r="S461" t="s">
        <v>108</v>
      </c>
      <c r="T461" t="s">
        <v>159</v>
      </c>
      <c r="U461" t="s">
        <v>186</v>
      </c>
    </row>
    <row r="462" spans="1:21" x14ac:dyDescent="0.3">
      <c r="A462" t="s">
        <v>1212</v>
      </c>
      <c r="B462" s="6" t="str">
        <f>HYPERLINK("http://data.ntsb.gov/carol-repgen/api/Aviation/ReportMain/GenerateNewestReport/99576/pdf","AccidentReport")</f>
        <v>AccidentReport</v>
      </c>
      <c r="C462" t="s">
        <v>1208</v>
      </c>
      <c r="D462" t="s">
        <v>1213</v>
      </c>
      <c r="E462" t="s">
        <v>176</v>
      </c>
      <c r="F462" t="s">
        <v>88</v>
      </c>
      <c r="G462">
        <v>47.139719999999997</v>
      </c>
      <c r="H462">
        <v>-119.339164</v>
      </c>
      <c r="K462" t="s">
        <v>155</v>
      </c>
      <c r="L462">
        <v>1</v>
      </c>
      <c r="M462" t="s">
        <v>90</v>
      </c>
      <c r="N462" t="s">
        <v>91</v>
      </c>
      <c r="O462" t="s">
        <v>92</v>
      </c>
      <c r="S462" t="s">
        <v>108</v>
      </c>
      <c r="T462" t="s">
        <v>411</v>
      </c>
      <c r="U462" t="s">
        <v>95</v>
      </c>
    </row>
    <row r="463" spans="1:21" x14ac:dyDescent="0.3">
      <c r="A463" t="s">
        <v>1214</v>
      </c>
      <c r="B463" s="6" t="str">
        <f>HYPERLINK("http://data.ntsb.gov/carol-repgen/api/Aviation/ReportMain/GenerateNewestReport/99583/pdf","AccidentReport")</f>
        <v>AccidentReport</v>
      </c>
      <c r="C463" t="s">
        <v>1208</v>
      </c>
      <c r="D463" t="s">
        <v>1215</v>
      </c>
      <c r="E463" t="s">
        <v>98</v>
      </c>
      <c r="F463" t="s">
        <v>88</v>
      </c>
      <c r="G463">
        <v>28.293610999999999</v>
      </c>
      <c r="H463">
        <v>-81.440002000000007</v>
      </c>
      <c r="K463" t="s">
        <v>89</v>
      </c>
      <c r="L463">
        <v>1</v>
      </c>
      <c r="M463" t="s">
        <v>90</v>
      </c>
      <c r="N463" t="s">
        <v>91</v>
      </c>
      <c r="O463" t="s">
        <v>92</v>
      </c>
      <c r="S463" t="s">
        <v>93</v>
      </c>
      <c r="T463" t="s">
        <v>94</v>
      </c>
      <c r="U463" t="s">
        <v>248</v>
      </c>
    </row>
    <row r="464" spans="1:21" x14ac:dyDescent="0.3">
      <c r="A464" t="s">
        <v>1216</v>
      </c>
      <c r="B464" s="6" t="str">
        <f>HYPERLINK("http://data.ntsb.gov/carol-repgen/api/Aviation/ReportMain/GenerateNewestReport/99600/pdf","AccidentReport")</f>
        <v>AccidentReport</v>
      </c>
      <c r="C464" t="s">
        <v>1208</v>
      </c>
      <c r="D464" t="s">
        <v>1146</v>
      </c>
      <c r="E464" t="s">
        <v>399</v>
      </c>
      <c r="F464" t="s">
        <v>88</v>
      </c>
      <c r="G464">
        <v>37.566386999999999</v>
      </c>
      <c r="H464">
        <v>-97.174446000000003</v>
      </c>
      <c r="K464" t="s">
        <v>155</v>
      </c>
      <c r="L464">
        <v>1</v>
      </c>
      <c r="M464" t="s">
        <v>90</v>
      </c>
      <c r="N464" t="s">
        <v>91</v>
      </c>
      <c r="O464" t="s">
        <v>92</v>
      </c>
      <c r="S464" t="s">
        <v>108</v>
      </c>
      <c r="T464" t="s">
        <v>102</v>
      </c>
      <c r="U464" t="s">
        <v>248</v>
      </c>
    </row>
    <row r="465" spans="1:21" x14ac:dyDescent="0.3">
      <c r="A465" t="s">
        <v>1217</v>
      </c>
      <c r="B465" s="6" t="str">
        <f>HYPERLINK("http://data.ntsb.gov/carol-repgen/api/Aviation/ReportMain/GenerateNewestReport/99569/pdf","AccidentReport")</f>
        <v>AccidentReport</v>
      </c>
      <c r="C465" t="s">
        <v>1208</v>
      </c>
      <c r="D465" t="s">
        <v>1218</v>
      </c>
      <c r="E465" t="s">
        <v>106</v>
      </c>
      <c r="F465" t="s">
        <v>88</v>
      </c>
      <c r="G465">
        <v>33.733890000000002</v>
      </c>
      <c r="H465">
        <v>-117.01721000000001</v>
      </c>
      <c r="I465">
        <v>1</v>
      </c>
      <c r="K465" t="s">
        <v>107</v>
      </c>
      <c r="L465">
        <v>1</v>
      </c>
      <c r="M465" t="s">
        <v>90</v>
      </c>
      <c r="N465" t="s">
        <v>91</v>
      </c>
      <c r="O465" t="s">
        <v>92</v>
      </c>
      <c r="S465" t="s">
        <v>418</v>
      </c>
      <c r="T465" t="s">
        <v>139</v>
      </c>
      <c r="U465" t="s">
        <v>248</v>
      </c>
    </row>
    <row r="466" spans="1:21" x14ac:dyDescent="0.3">
      <c r="A466" t="s">
        <v>1219</v>
      </c>
      <c r="B466" s="6" t="str">
        <f>HYPERLINK("http://data.ntsb.gov/carol-repgen/api/Aviation/ReportMain/GenerateNewestReport/99570/pdf","AccidentReport")</f>
        <v>AccidentReport</v>
      </c>
      <c r="C466" t="s">
        <v>1208</v>
      </c>
      <c r="D466" t="s">
        <v>994</v>
      </c>
      <c r="E466" t="s">
        <v>251</v>
      </c>
      <c r="F466" t="s">
        <v>88</v>
      </c>
      <c r="G466">
        <v>42.351664999999997</v>
      </c>
      <c r="H466">
        <v>-122.860557</v>
      </c>
      <c r="K466" t="s">
        <v>155</v>
      </c>
      <c r="L466">
        <v>1</v>
      </c>
      <c r="M466" t="s">
        <v>90</v>
      </c>
      <c r="N466" t="s">
        <v>91</v>
      </c>
      <c r="O466" t="s">
        <v>92</v>
      </c>
      <c r="S466" t="s">
        <v>108</v>
      </c>
      <c r="T466" t="s">
        <v>381</v>
      </c>
      <c r="U466" t="s">
        <v>119</v>
      </c>
    </row>
    <row r="467" spans="1:21" x14ac:dyDescent="0.3">
      <c r="A467" t="s">
        <v>1220</v>
      </c>
      <c r="B467" s="6" t="str">
        <f>HYPERLINK("http://data.ntsb.gov/carol-repgen/api/Aviation/ReportMain/GenerateNewestReport/99578/pdf","AccidentReport")</f>
        <v>AccidentReport</v>
      </c>
      <c r="C467" t="s">
        <v>1221</v>
      </c>
      <c r="D467" t="s">
        <v>1222</v>
      </c>
      <c r="E467" t="s">
        <v>390</v>
      </c>
      <c r="F467" t="s">
        <v>88</v>
      </c>
      <c r="G467">
        <v>40.273055999999997</v>
      </c>
      <c r="H467">
        <v>-74.808052000000004</v>
      </c>
      <c r="K467" t="s">
        <v>89</v>
      </c>
      <c r="L467">
        <v>1</v>
      </c>
      <c r="M467" t="s">
        <v>90</v>
      </c>
      <c r="N467" t="s">
        <v>91</v>
      </c>
      <c r="O467" t="s">
        <v>92</v>
      </c>
      <c r="S467" t="s">
        <v>108</v>
      </c>
      <c r="T467" t="s">
        <v>94</v>
      </c>
      <c r="U467" t="s">
        <v>95</v>
      </c>
    </row>
    <row r="468" spans="1:21" x14ac:dyDescent="0.3">
      <c r="A468" t="s">
        <v>1223</v>
      </c>
      <c r="B468" s="6" t="str">
        <f>HYPERLINK("http://data.ntsb.gov/carol-repgen/api/Aviation/ReportMain/GenerateNewestReport/99580/pdf","AccidentReport")</f>
        <v>AccidentReport</v>
      </c>
      <c r="C468" t="s">
        <v>1221</v>
      </c>
      <c r="D468" t="s">
        <v>1224</v>
      </c>
      <c r="E468" t="s">
        <v>122</v>
      </c>
      <c r="F468" t="s">
        <v>88</v>
      </c>
      <c r="G468">
        <v>45.989443999999999</v>
      </c>
      <c r="H468">
        <v>-114.841392</v>
      </c>
      <c r="K468" t="s">
        <v>89</v>
      </c>
      <c r="L468">
        <v>1</v>
      </c>
      <c r="M468" t="s">
        <v>90</v>
      </c>
      <c r="N468" t="s">
        <v>91</v>
      </c>
      <c r="O468" t="s">
        <v>92</v>
      </c>
      <c r="S468" t="s">
        <v>108</v>
      </c>
      <c r="T468" t="s">
        <v>411</v>
      </c>
      <c r="U468" t="s">
        <v>95</v>
      </c>
    </row>
    <row r="469" spans="1:21" x14ac:dyDescent="0.3">
      <c r="A469" t="s">
        <v>1225</v>
      </c>
      <c r="B469" s="6" t="str">
        <f>HYPERLINK("http://data.ntsb.gov/carol-repgen/api/Aviation/ReportMain/GenerateNewestReport/99581/pdf","AccidentReport")</f>
        <v>AccidentReport</v>
      </c>
      <c r="C469" t="s">
        <v>1221</v>
      </c>
      <c r="D469" t="s">
        <v>1226</v>
      </c>
      <c r="E469" t="s">
        <v>106</v>
      </c>
      <c r="F469" t="s">
        <v>88</v>
      </c>
      <c r="G469">
        <v>38.893889999999999</v>
      </c>
      <c r="H469">
        <v>-119.995277</v>
      </c>
      <c r="K469" t="s">
        <v>89</v>
      </c>
      <c r="L469">
        <v>1</v>
      </c>
      <c r="M469" t="s">
        <v>90</v>
      </c>
      <c r="N469" t="s">
        <v>91</v>
      </c>
      <c r="O469" t="s">
        <v>92</v>
      </c>
      <c r="S469" t="s">
        <v>108</v>
      </c>
      <c r="T469" t="s">
        <v>109</v>
      </c>
      <c r="U469" t="s">
        <v>95</v>
      </c>
    </row>
    <row r="470" spans="1:21" x14ac:dyDescent="0.3">
      <c r="A470" t="s">
        <v>1227</v>
      </c>
      <c r="B470" s="6" t="str">
        <f>HYPERLINK("http://data.ntsb.gov/carol-repgen/api/Aviation/ReportMain/GenerateNewestReport/99582/pdf","AccidentReport")</f>
        <v>AccidentReport</v>
      </c>
      <c r="C470" t="s">
        <v>1221</v>
      </c>
      <c r="D470" t="s">
        <v>1228</v>
      </c>
      <c r="E470" t="s">
        <v>122</v>
      </c>
      <c r="F470" t="s">
        <v>88</v>
      </c>
      <c r="G470">
        <v>43.117221000000001</v>
      </c>
      <c r="H470">
        <v>-112.60778000000001</v>
      </c>
      <c r="K470" t="s">
        <v>89</v>
      </c>
      <c r="L470">
        <v>1</v>
      </c>
      <c r="M470" t="s">
        <v>90</v>
      </c>
      <c r="N470" t="s">
        <v>91</v>
      </c>
      <c r="O470" t="s">
        <v>92</v>
      </c>
      <c r="S470" t="s">
        <v>108</v>
      </c>
      <c r="T470" t="s">
        <v>247</v>
      </c>
      <c r="U470" t="s">
        <v>95</v>
      </c>
    </row>
    <row r="471" spans="1:21" x14ac:dyDescent="0.3">
      <c r="A471" t="s">
        <v>1229</v>
      </c>
      <c r="B471" s="6" t="str">
        <f>HYPERLINK("http://data.ntsb.gov/carol-repgen/api/Aviation/ReportMain/GenerateNewestReport/99604/pdf","AccidentReport")</f>
        <v>AccidentReport</v>
      </c>
      <c r="C471" t="s">
        <v>1221</v>
      </c>
      <c r="D471" t="s">
        <v>567</v>
      </c>
      <c r="E471" t="s">
        <v>106</v>
      </c>
      <c r="F471" t="s">
        <v>88</v>
      </c>
      <c r="G471">
        <v>33.988886999999998</v>
      </c>
      <c r="H471">
        <v>-117.410003</v>
      </c>
      <c r="K471" t="s">
        <v>89</v>
      </c>
      <c r="L471">
        <v>1</v>
      </c>
      <c r="M471" t="s">
        <v>90</v>
      </c>
      <c r="N471" t="s">
        <v>91</v>
      </c>
      <c r="O471" t="s">
        <v>92</v>
      </c>
      <c r="S471" t="s">
        <v>108</v>
      </c>
      <c r="T471" t="s">
        <v>102</v>
      </c>
      <c r="U471" t="s">
        <v>95</v>
      </c>
    </row>
    <row r="472" spans="1:21" x14ac:dyDescent="0.3">
      <c r="A472" t="s">
        <v>1230</v>
      </c>
      <c r="B472" s="6" t="str">
        <f>HYPERLINK("http://data.ntsb.gov/carol-repgen/api/Aviation/ReportMain/GenerateNewestReport/99617/pdf","AccidentReport")</f>
        <v>AccidentReport</v>
      </c>
      <c r="C472" t="s">
        <v>1221</v>
      </c>
      <c r="D472" t="s">
        <v>1231</v>
      </c>
      <c r="E472" t="s">
        <v>128</v>
      </c>
      <c r="F472" t="s">
        <v>88</v>
      </c>
      <c r="G472">
        <v>34.982222999999998</v>
      </c>
      <c r="H472">
        <v>-106.013336</v>
      </c>
      <c r="K472" t="s">
        <v>89</v>
      </c>
      <c r="L472">
        <v>1</v>
      </c>
      <c r="M472" t="s">
        <v>90</v>
      </c>
      <c r="N472" t="s">
        <v>91</v>
      </c>
      <c r="O472" t="s">
        <v>92</v>
      </c>
      <c r="S472" t="s">
        <v>108</v>
      </c>
      <c r="T472" t="s">
        <v>109</v>
      </c>
      <c r="U472" t="s">
        <v>95</v>
      </c>
    </row>
    <row r="473" spans="1:21" x14ac:dyDescent="0.3">
      <c r="A473" t="s">
        <v>1232</v>
      </c>
      <c r="B473" s="6" t="str">
        <f>HYPERLINK("http://data.ntsb.gov/carol-repgen/api/Aviation/ReportMain/GenerateNewestReport/99657/pdf","AccidentReport")</f>
        <v>AccidentReport</v>
      </c>
      <c r="C473" t="s">
        <v>1221</v>
      </c>
      <c r="D473" t="s">
        <v>1233</v>
      </c>
      <c r="E473" t="s">
        <v>154</v>
      </c>
      <c r="F473" t="s">
        <v>88</v>
      </c>
      <c r="G473">
        <v>28.730556</v>
      </c>
      <c r="H473">
        <v>-96.453613000000004</v>
      </c>
      <c r="K473" t="s">
        <v>89</v>
      </c>
      <c r="L473">
        <v>1</v>
      </c>
      <c r="M473" t="s">
        <v>90</v>
      </c>
      <c r="N473" t="s">
        <v>91</v>
      </c>
      <c r="O473" t="s">
        <v>169</v>
      </c>
      <c r="S473" t="s">
        <v>515</v>
      </c>
      <c r="T473" t="s">
        <v>113</v>
      </c>
      <c r="U473" t="s">
        <v>103</v>
      </c>
    </row>
    <row r="474" spans="1:21" x14ac:dyDescent="0.3">
      <c r="A474" t="s">
        <v>1234</v>
      </c>
      <c r="B474" s="6" t="str">
        <f>HYPERLINK("http://data.ntsb.gov/carol-repgen/api/Aviation/ReportMain/GenerateNewestReport/99982/pdf","AccidentReport")</f>
        <v>AccidentReport</v>
      </c>
      <c r="C474" t="s">
        <v>1221</v>
      </c>
      <c r="D474" t="s">
        <v>751</v>
      </c>
      <c r="E474" t="s">
        <v>457</v>
      </c>
      <c r="F474" t="s">
        <v>88</v>
      </c>
      <c r="G474">
        <v>37.743609999999997</v>
      </c>
      <c r="H474">
        <v>-92.513335999999995</v>
      </c>
      <c r="K474" t="s">
        <v>89</v>
      </c>
      <c r="L474">
        <v>1</v>
      </c>
      <c r="M474" t="s">
        <v>90</v>
      </c>
      <c r="N474" t="s">
        <v>100</v>
      </c>
      <c r="O474" t="s">
        <v>92</v>
      </c>
      <c r="S474" t="s">
        <v>108</v>
      </c>
      <c r="T474" t="s">
        <v>102</v>
      </c>
      <c r="U474" t="s">
        <v>95</v>
      </c>
    </row>
    <row r="475" spans="1:21" x14ac:dyDescent="0.3">
      <c r="A475" t="s">
        <v>1235</v>
      </c>
      <c r="B475" s="6" t="str">
        <f>HYPERLINK("http://data.ntsb.gov/carol-repgen/api/Aviation/ReportMain/GenerateNewestReport/99782/pdf","AccidentReport")</f>
        <v>AccidentReport</v>
      </c>
      <c r="C475" t="s">
        <v>1221</v>
      </c>
      <c r="D475" t="s">
        <v>1236</v>
      </c>
      <c r="F475" t="s">
        <v>1237</v>
      </c>
      <c r="G475">
        <v>63.712775999999998</v>
      </c>
      <c r="H475">
        <v>91.851943000000006</v>
      </c>
      <c r="I475">
        <v>3</v>
      </c>
      <c r="J475">
        <v>2</v>
      </c>
      <c r="K475" t="s">
        <v>107</v>
      </c>
      <c r="L475">
        <v>1</v>
      </c>
      <c r="M475" t="s">
        <v>147</v>
      </c>
      <c r="N475" t="s">
        <v>91</v>
      </c>
      <c r="O475" t="s">
        <v>240</v>
      </c>
      <c r="T475" t="s">
        <v>102</v>
      </c>
      <c r="U475" t="s">
        <v>119</v>
      </c>
    </row>
    <row r="476" spans="1:21" x14ac:dyDescent="0.3">
      <c r="A476" t="s">
        <v>1238</v>
      </c>
      <c r="B476" s="6" t="str">
        <f>HYPERLINK("http://data.ntsb.gov/carol-repgen/api/Aviation/ReportMain/GenerateNewestReport/99577/pdf","AccidentReport")</f>
        <v>AccidentReport</v>
      </c>
      <c r="C476" t="s">
        <v>1221</v>
      </c>
      <c r="D476" t="s">
        <v>1239</v>
      </c>
      <c r="E476" t="s">
        <v>106</v>
      </c>
      <c r="F476" t="s">
        <v>88</v>
      </c>
      <c r="G476">
        <v>38.044165999999997</v>
      </c>
      <c r="H476">
        <v>-121.83889000000001</v>
      </c>
      <c r="I476">
        <v>1</v>
      </c>
      <c r="K476" t="s">
        <v>107</v>
      </c>
      <c r="L476">
        <v>1</v>
      </c>
      <c r="M476" t="s">
        <v>147</v>
      </c>
      <c r="N476" t="s">
        <v>91</v>
      </c>
      <c r="O476" t="s">
        <v>92</v>
      </c>
      <c r="S476" t="s">
        <v>108</v>
      </c>
      <c r="T476" t="s">
        <v>102</v>
      </c>
      <c r="U476" t="s">
        <v>103</v>
      </c>
    </row>
    <row r="477" spans="1:21" x14ac:dyDescent="0.3">
      <c r="A477" t="s">
        <v>1240</v>
      </c>
      <c r="B477" s="6" t="str">
        <f>HYPERLINK("http://data.ntsb.gov/carol-repgen/api/Aviation/ReportMain/GenerateNewestReport/99585/pdf","AccidentReport")</f>
        <v>AccidentReport</v>
      </c>
      <c r="C477" t="s">
        <v>1241</v>
      </c>
      <c r="D477" t="s">
        <v>1242</v>
      </c>
      <c r="E477" t="s">
        <v>457</v>
      </c>
      <c r="F477" t="s">
        <v>88</v>
      </c>
      <c r="G477">
        <v>38.350276000000001</v>
      </c>
      <c r="H477">
        <v>-94.340277999999998</v>
      </c>
      <c r="I477">
        <v>1</v>
      </c>
      <c r="J477">
        <v>0</v>
      </c>
      <c r="K477" t="s">
        <v>107</v>
      </c>
      <c r="L477">
        <v>1</v>
      </c>
      <c r="M477" t="s">
        <v>147</v>
      </c>
      <c r="N477" t="s">
        <v>91</v>
      </c>
      <c r="O477" t="s">
        <v>92</v>
      </c>
      <c r="S477" t="s">
        <v>108</v>
      </c>
      <c r="T477" t="s">
        <v>159</v>
      </c>
      <c r="U477" t="s">
        <v>852</v>
      </c>
    </row>
    <row r="478" spans="1:21" x14ac:dyDescent="0.3">
      <c r="A478" t="s">
        <v>1243</v>
      </c>
      <c r="B478" s="6" t="str">
        <f>HYPERLINK("http://data.ntsb.gov/carol-repgen/api/Aviation/ReportMain/GenerateNewestReport/99622/pdf","AccidentReport")</f>
        <v>AccidentReport</v>
      </c>
      <c r="C478" t="s">
        <v>1241</v>
      </c>
      <c r="D478" t="s">
        <v>1244</v>
      </c>
      <c r="E478" t="s">
        <v>98</v>
      </c>
      <c r="F478" t="s">
        <v>88</v>
      </c>
      <c r="G478">
        <v>30.218889000000001</v>
      </c>
      <c r="H478">
        <v>-81.877219999999994</v>
      </c>
      <c r="K478" t="s">
        <v>89</v>
      </c>
      <c r="L478">
        <v>1</v>
      </c>
      <c r="M478" t="s">
        <v>90</v>
      </c>
      <c r="N478" t="s">
        <v>91</v>
      </c>
      <c r="O478" t="s">
        <v>92</v>
      </c>
      <c r="S478" t="s">
        <v>1245</v>
      </c>
      <c r="T478" t="s">
        <v>109</v>
      </c>
      <c r="U478" t="s">
        <v>95</v>
      </c>
    </row>
    <row r="479" spans="1:21" x14ac:dyDescent="0.3">
      <c r="A479" t="s">
        <v>1246</v>
      </c>
      <c r="B479" s="6" t="str">
        <f>HYPERLINK("http://data.ntsb.gov/carol-repgen/api/Aviation/ReportMain/GenerateNewestReport/99586/pdf","AccidentReport")</f>
        <v>AccidentReport</v>
      </c>
      <c r="C479" t="s">
        <v>1241</v>
      </c>
      <c r="D479" t="s">
        <v>651</v>
      </c>
      <c r="E479" t="s">
        <v>651</v>
      </c>
      <c r="F479" t="s">
        <v>88</v>
      </c>
      <c r="G479">
        <v>40.761665000000001</v>
      </c>
      <c r="H479">
        <v>-73.981941000000006</v>
      </c>
      <c r="I479">
        <v>1</v>
      </c>
      <c r="J479">
        <v>0</v>
      </c>
      <c r="K479" t="s">
        <v>107</v>
      </c>
      <c r="L479">
        <v>1</v>
      </c>
      <c r="M479" t="s">
        <v>147</v>
      </c>
      <c r="N479" t="s">
        <v>100</v>
      </c>
      <c r="O479" t="s">
        <v>92</v>
      </c>
      <c r="S479" t="s">
        <v>498</v>
      </c>
      <c r="T479" t="s">
        <v>279</v>
      </c>
      <c r="U479" t="s">
        <v>103</v>
      </c>
    </row>
    <row r="480" spans="1:21" x14ac:dyDescent="0.3">
      <c r="A480" t="s">
        <v>1247</v>
      </c>
      <c r="B480" s="6" t="str">
        <f>HYPERLINK("http://data.ntsb.gov/carol-repgen/api/Aviation/ReportMain/GenerateNewestReport/99618/pdf","AccidentReport")</f>
        <v>AccidentReport</v>
      </c>
      <c r="C480" t="s">
        <v>1241</v>
      </c>
      <c r="D480" t="s">
        <v>1248</v>
      </c>
      <c r="E480" t="s">
        <v>251</v>
      </c>
      <c r="F480" t="s">
        <v>88</v>
      </c>
      <c r="G480">
        <v>44.019443000000003</v>
      </c>
      <c r="H480">
        <v>-117.013053</v>
      </c>
      <c r="K480" t="s">
        <v>155</v>
      </c>
      <c r="L480">
        <v>1</v>
      </c>
      <c r="M480" t="s">
        <v>90</v>
      </c>
      <c r="N480" t="s">
        <v>91</v>
      </c>
      <c r="O480" t="s">
        <v>92</v>
      </c>
      <c r="S480" t="s">
        <v>108</v>
      </c>
      <c r="T480" t="s">
        <v>159</v>
      </c>
      <c r="U480" t="s">
        <v>119</v>
      </c>
    </row>
    <row r="481" spans="1:21" x14ac:dyDescent="0.3">
      <c r="A481" t="s">
        <v>1249</v>
      </c>
      <c r="B481" s="6" t="str">
        <f>HYPERLINK("http://data.ntsb.gov/carol-repgen/api/Aviation/ReportMain/GenerateNewestReport/99621/pdf","AccidentReport")</f>
        <v>AccidentReport</v>
      </c>
      <c r="C481" t="s">
        <v>1241</v>
      </c>
      <c r="D481" t="s">
        <v>562</v>
      </c>
      <c r="E481" t="s">
        <v>203</v>
      </c>
      <c r="F481" t="s">
        <v>88</v>
      </c>
      <c r="G481">
        <v>44.362220000000001</v>
      </c>
      <c r="H481">
        <v>-91.391386999999995</v>
      </c>
      <c r="K481" t="s">
        <v>89</v>
      </c>
      <c r="L481">
        <v>1</v>
      </c>
      <c r="M481" t="s">
        <v>90</v>
      </c>
      <c r="N481" t="s">
        <v>893</v>
      </c>
      <c r="O481" t="s">
        <v>92</v>
      </c>
      <c r="S481" t="s">
        <v>108</v>
      </c>
      <c r="T481" t="s">
        <v>749</v>
      </c>
      <c r="U481" t="s">
        <v>186</v>
      </c>
    </row>
    <row r="482" spans="1:21" x14ac:dyDescent="0.3">
      <c r="A482" t="s">
        <v>1250</v>
      </c>
      <c r="B482" s="6" t="str">
        <f>HYPERLINK("http://data.ntsb.gov/carol-repgen/api/Aviation/ReportMain/GenerateNewestReport/99642/pdf","AccidentReport")</f>
        <v>AccidentReport</v>
      </c>
      <c r="C482" t="s">
        <v>1241</v>
      </c>
      <c r="D482" t="s">
        <v>976</v>
      </c>
      <c r="E482" t="s">
        <v>233</v>
      </c>
      <c r="F482" t="s">
        <v>88</v>
      </c>
      <c r="G482">
        <v>63.075831999999998</v>
      </c>
      <c r="H482">
        <v>-141.038894</v>
      </c>
      <c r="J482">
        <v>1</v>
      </c>
      <c r="K482" t="s">
        <v>99</v>
      </c>
      <c r="L482">
        <v>1</v>
      </c>
      <c r="M482" t="s">
        <v>90</v>
      </c>
      <c r="N482" t="s">
        <v>100</v>
      </c>
      <c r="O482" t="s">
        <v>92</v>
      </c>
      <c r="S482" t="s">
        <v>170</v>
      </c>
      <c r="T482" t="s">
        <v>102</v>
      </c>
      <c r="U482" t="s">
        <v>95</v>
      </c>
    </row>
    <row r="483" spans="1:21" x14ac:dyDescent="0.3">
      <c r="A483" t="s">
        <v>1251</v>
      </c>
      <c r="B483" s="6" t="str">
        <f>HYPERLINK("http://data.ntsb.gov/carol-repgen/api/Aviation/ReportMain/GenerateNewestReport/99592/pdf","AccidentReport")</f>
        <v>AccidentReport</v>
      </c>
      <c r="C483" t="s">
        <v>1241</v>
      </c>
      <c r="D483" t="s">
        <v>1252</v>
      </c>
      <c r="E483" t="s">
        <v>106</v>
      </c>
      <c r="F483" t="s">
        <v>88</v>
      </c>
      <c r="G483">
        <v>33.029997999999999</v>
      </c>
      <c r="H483">
        <v>-116.910003</v>
      </c>
      <c r="K483" t="s">
        <v>89</v>
      </c>
      <c r="L483">
        <v>1</v>
      </c>
      <c r="M483" t="s">
        <v>90</v>
      </c>
      <c r="N483" t="s">
        <v>91</v>
      </c>
      <c r="O483" t="s">
        <v>92</v>
      </c>
      <c r="S483" t="s">
        <v>108</v>
      </c>
      <c r="T483" t="s">
        <v>159</v>
      </c>
      <c r="U483" t="s">
        <v>186</v>
      </c>
    </row>
    <row r="484" spans="1:21" x14ac:dyDescent="0.3">
      <c r="A484" t="s">
        <v>1253</v>
      </c>
      <c r="B484" s="6" t="str">
        <f>HYPERLINK("http://data.ntsb.gov/carol-repgen/api/Aviation/ReportMain/GenerateNewestReport/99700/pdf","AccidentReport")</f>
        <v>AccidentReport</v>
      </c>
      <c r="C484" t="s">
        <v>1254</v>
      </c>
      <c r="D484" t="s">
        <v>1255</v>
      </c>
      <c r="E484" t="s">
        <v>233</v>
      </c>
      <c r="F484" t="s">
        <v>88</v>
      </c>
      <c r="G484">
        <v>60.811942999999999</v>
      </c>
      <c r="H484">
        <v>-150.00666000000001</v>
      </c>
      <c r="K484" t="s">
        <v>89</v>
      </c>
      <c r="L484">
        <v>1</v>
      </c>
      <c r="M484" t="s">
        <v>90</v>
      </c>
      <c r="N484" t="s">
        <v>91</v>
      </c>
      <c r="O484" t="s">
        <v>92</v>
      </c>
      <c r="S484" t="s">
        <v>108</v>
      </c>
      <c r="T484" t="s">
        <v>159</v>
      </c>
      <c r="U484" t="s">
        <v>186</v>
      </c>
    </row>
    <row r="485" spans="1:21" x14ac:dyDescent="0.3">
      <c r="A485" t="s">
        <v>1256</v>
      </c>
      <c r="B485" s="6" t="str">
        <f>HYPERLINK("http://data.ntsb.gov/carol-repgen/api/Aviation/ReportMain/GenerateNewestReport/99603/pdf","AccidentReport")</f>
        <v>AccidentReport</v>
      </c>
      <c r="C485" t="s">
        <v>1254</v>
      </c>
      <c r="D485" t="s">
        <v>1257</v>
      </c>
      <c r="E485" t="s">
        <v>349</v>
      </c>
      <c r="F485" t="s">
        <v>88</v>
      </c>
      <c r="G485">
        <v>39.064723000000001</v>
      </c>
      <c r="H485">
        <v>-87.053336999999999</v>
      </c>
      <c r="J485">
        <v>1</v>
      </c>
      <c r="K485" t="s">
        <v>99</v>
      </c>
      <c r="L485">
        <v>1</v>
      </c>
      <c r="M485" t="s">
        <v>90</v>
      </c>
      <c r="N485" t="s">
        <v>91</v>
      </c>
      <c r="O485" t="s">
        <v>92</v>
      </c>
      <c r="S485" t="s">
        <v>108</v>
      </c>
      <c r="T485" t="s">
        <v>159</v>
      </c>
      <c r="U485" t="s">
        <v>186</v>
      </c>
    </row>
    <row r="486" spans="1:21" x14ac:dyDescent="0.3">
      <c r="A486" t="s">
        <v>1258</v>
      </c>
      <c r="B486" s="6" t="str">
        <f>HYPERLINK("http://data.ntsb.gov/carol-repgen/api/Aviation/ReportMain/GenerateNewestReport/99640/pdf","AccidentReport")</f>
        <v>AccidentReport</v>
      </c>
      <c r="C486" t="s">
        <v>1254</v>
      </c>
      <c r="D486" t="s">
        <v>1259</v>
      </c>
      <c r="E486" t="s">
        <v>233</v>
      </c>
      <c r="F486" t="s">
        <v>88</v>
      </c>
      <c r="G486">
        <v>60.320278000000002</v>
      </c>
      <c r="H486">
        <v>-150.597229</v>
      </c>
      <c r="K486" t="s">
        <v>89</v>
      </c>
      <c r="L486">
        <v>1</v>
      </c>
      <c r="M486" t="s">
        <v>90</v>
      </c>
      <c r="N486" t="s">
        <v>91</v>
      </c>
      <c r="O486" t="s">
        <v>92</v>
      </c>
      <c r="S486" t="s">
        <v>108</v>
      </c>
      <c r="T486" t="s">
        <v>442</v>
      </c>
      <c r="U486" t="s">
        <v>95</v>
      </c>
    </row>
    <row r="487" spans="1:21" x14ac:dyDescent="0.3">
      <c r="A487" t="s">
        <v>1260</v>
      </c>
      <c r="B487" s="6" t="str">
        <f>HYPERLINK("http://data.ntsb.gov/carol-repgen/api/Aviation/ReportMain/GenerateNewestReport/99643/pdf","AccidentReport")</f>
        <v>AccidentReport</v>
      </c>
      <c r="C487" t="s">
        <v>1254</v>
      </c>
      <c r="D487" t="s">
        <v>1261</v>
      </c>
      <c r="E487" t="s">
        <v>154</v>
      </c>
      <c r="F487" t="s">
        <v>88</v>
      </c>
      <c r="G487">
        <v>33.067779000000002</v>
      </c>
      <c r="H487">
        <v>-96.065276999999995</v>
      </c>
      <c r="K487" t="s">
        <v>89</v>
      </c>
      <c r="L487">
        <v>1</v>
      </c>
      <c r="M487" t="s">
        <v>90</v>
      </c>
      <c r="N487" t="s">
        <v>91</v>
      </c>
      <c r="O487" t="s">
        <v>92</v>
      </c>
      <c r="S487" t="s">
        <v>93</v>
      </c>
      <c r="T487" t="s">
        <v>1262</v>
      </c>
      <c r="U487" t="s">
        <v>221</v>
      </c>
    </row>
    <row r="488" spans="1:21" x14ac:dyDescent="0.3">
      <c r="A488" t="s">
        <v>1260</v>
      </c>
      <c r="B488" s="6" t="str">
        <f>HYPERLINK("http://data.ntsb.gov/carol-repgen/api/Aviation/ReportMain/GenerateNewestReport/99643/pdf","AccidentReport")</f>
        <v>AccidentReport</v>
      </c>
      <c r="C488" t="s">
        <v>1254</v>
      </c>
      <c r="D488" t="s">
        <v>1261</v>
      </c>
      <c r="E488" t="s">
        <v>154</v>
      </c>
      <c r="F488" t="s">
        <v>88</v>
      </c>
      <c r="G488">
        <v>33.067779000000002</v>
      </c>
      <c r="H488">
        <v>-96.065276999999995</v>
      </c>
      <c r="K488" t="s">
        <v>89</v>
      </c>
      <c r="L488">
        <v>2</v>
      </c>
      <c r="M488" t="s">
        <v>90</v>
      </c>
      <c r="N488" t="s">
        <v>91</v>
      </c>
      <c r="O488" t="s">
        <v>92</v>
      </c>
      <c r="S488" t="s">
        <v>93</v>
      </c>
      <c r="T488" t="s">
        <v>1262</v>
      </c>
      <c r="U488" t="s">
        <v>221</v>
      </c>
    </row>
    <row r="489" spans="1:21" x14ac:dyDescent="0.3">
      <c r="A489" t="s">
        <v>1263</v>
      </c>
      <c r="B489" s="6" t="str">
        <f>HYPERLINK("http://data.ntsb.gov/carol-repgen/api/Aviation/ReportMain/GenerateNewestReport/99594/pdf","AccidentReport")</f>
        <v>AccidentReport</v>
      </c>
      <c r="C489" t="s">
        <v>1254</v>
      </c>
      <c r="D489" t="s">
        <v>1264</v>
      </c>
      <c r="E489" t="s">
        <v>125</v>
      </c>
      <c r="F489" t="s">
        <v>88</v>
      </c>
      <c r="G489">
        <v>33.683611999999997</v>
      </c>
      <c r="H489">
        <v>-112.12694500000001</v>
      </c>
      <c r="J489">
        <v>1</v>
      </c>
      <c r="K489" t="s">
        <v>99</v>
      </c>
      <c r="L489">
        <v>1</v>
      </c>
      <c r="M489" t="s">
        <v>90</v>
      </c>
      <c r="N489" t="s">
        <v>91</v>
      </c>
      <c r="O489" t="s">
        <v>92</v>
      </c>
      <c r="S489" t="s">
        <v>108</v>
      </c>
      <c r="T489" t="s">
        <v>159</v>
      </c>
      <c r="U489" t="s">
        <v>150</v>
      </c>
    </row>
    <row r="490" spans="1:21" x14ac:dyDescent="0.3">
      <c r="A490" t="s">
        <v>1265</v>
      </c>
      <c r="B490" s="6" t="str">
        <f>HYPERLINK("http://data.ntsb.gov/carol-repgen/api/Aviation/ReportMain/GenerateNewestReport/99659/pdf","AccidentReport")</f>
        <v>AccidentReport</v>
      </c>
      <c r="C490" t="s">
        <v>1266</v>
      </c>
      <c r="D490" t="s">
        <v>1267</v>
      </c>
      <c r="E490" t="s">
        <v>233</v>
      </c>
      <c r="F490" t="s">
        <v>88</v>
      </c>
      <c r="G490">
        <v>65.337219000000005</v>
      </c>
      <c r="H490">
        <v>-146.72610399999999</v>
      </c>
      <c r="K490" t="s">
        <v>89</v>
      </c>
      <c r="L490">
        <v>1</v>
      </c>
      <c r="M490" t="s">
        <v>90</v>
      </c>
      <c r="N490" t="s">
        <v>91</v>
      </c>
      <c r="O490" t="s">
        <v>92</v>
      </c>
      <c r="S490" t="s">
        <v>108</v>
      </c>
      <c r="T490" t="s">
        <v>139</v>
      </c>
      <c r="U490" t="s">
        <v>95</v>
      </c>
    </row>
    <row r="491" spans="1:21" x14ac:dyDescent="0.3">
      <c r="A491" t="s">
        <v>1268</v>
      </c>
      <c r="B491" s="6" t="str">
        <f>HYPERLINK("http://data.ntsb.gov/carol-repgen/api/Aviation/ReportMain/GenerateNewestReport/99616/pdf","AccidentReport")</f>
        <v>AccidentReport</v>
      </c>
      <c r="C491" t="s">
        <v>1266</v>
      </c>
      <c r="D491" t="s">
        <v>1261</v>
      </c>
      <c r="E491" t="s">
        <v>154</v>
      </c>
      <c r="F491" t="s">
        <v>88</v>
      </c>
      <c r="G491">
        <v>33.069999000000003</v>
      </c>
      <c r="H491">
        <v>-96.065276999999995</v>
      </c>
      <c r="K491" t="s">
        <v>89</v>
      </c>
      <c r="L491">
        <v>1</v>
      </c>
      <c r="M491" t="s">
        <v>90</v>
      </c>
      <c r="N491" t="s">
        <v>91</v>
      </c>
      <c r="O491" t="s">
        <v>92</v>
      </c>
      <c r="S491" t="s">
        <v>93</v>
      </c>
      <c r="T491" t="s">
        <v>139</v>
      </c>
      <c r="U491" t="s">
        <v>248</v>
      </c>
    </row>
    <row r="492" spans="1:21" x14ac:dyDescent="0.3">
      <c r="A492" t="s">
        <v>1269</v>
      </c>
      <c r="B492" s="6" t="str">
        <f>HYPERLINK("http://data.ntsb.gov/carol-repgen/api/Aviation/ReportMain/GenerateNewestReport/99606/pdf","AccidentReport")</f>
        <v>AccidentReport</v>
      </c>
      <c r="C492" t="s">
        <v>1266</v>
      </c>
      <c r="D492" t="s">
        <v>1014</v>
      </c>
      <c r="E492" t="s">
        <v>98</v>
      </c>
      <c r="F492" t="s">
        <v>88</v>
      </c>
      <c r="G492">
        <v>28.620277000000002</v>
      </c>
      <c r="H492">
        <v>-81.349165999999997</v>
      </c>
      <c r="I492">
        <v>2</v>
      </c>
      <c r="K492" t="s">
        <v>107</v>
      </c>
      <c r="L492">
        <v>1</v>
      </c>
      <c r="M492" t="s">
        <v>90</v>
      </c>
      <c r="N492" t="s">
        <v>91</v>
      </c>
      <c r="O492" t="s">
        <v>92</v>
      </c>
      <c r="S492" t="s">
        <v>108</v>
      </c>
      <c r="T492" t="s">
        <v>118</v>
      </c>
      <c r="U492" t="s">
        <v>150</v>
      </c>
    </row>
    <row r="493" spans="1:21" x14ac:dyDescent="0.3">
      <c r="A493" t="s">
        <v>1270</v>
      </c>
      <c r="B493" s="6" t="str">
        <f>HYPERLINK("http://data.ntsb.gov/carol-repgen/api/Aviation/ReportMain/GenerateNewestReport/99628/pdf","AccidentReport")</f>
        <v>AccidentReport</v>
      </c>
      <c r="C493" t="s">
        <v>1266</v>
      </c>
      <c r="D493" t="s">
        <v>1271</v>
      </c>
      <c r="E493" t="s">
        <v>142</v>
      </c>
      <c r="F493" t="s">
        <v>88</v>
      </c>
      <c r="G493">
        <v>39.974997999999999</v>
      </c>
      <c r="H493">
        <v>-81.577499000000003</v>
      </c>
      <c r="K493" t="s">
        <v>155</v>
      </c>
      <c r="L493">
        <v>1</v>
      </c>
      <c r="M493" t="s">
        <v>90</v>
      </c>
      <c r="N493" t="s">
        <v>91</v>
      </c>
      <c r="O493" t="s">
        <v>92</v>
      </c>
      <c r="S493" t="s">
        <v>108</v>
      </c>
      <c r="T493" t="s">
        <v>94</v>
      </c>
      <c r="U493" t="s">
        <v>95</v>
      </c>
    </row>
    <row r="494" spans="1:21" x14ac:dyDescent="0.3">
      <c r="A494" t="s">
        <v>1272</v>
      </c>
      <c r="B494" s="6" t="str">
        <f>HYPERLINK("http://data.ntsb.gov/carol-repgen/api/Aviation/ReportMain/GenerateNewestReport/99607/pdf","AccidentReport")</f>
        <v>AccidentReport</v>
      </c>
      <c r="C494" t="s">
        <v>1266</v>
      </c>
      <c r="D494" t="s">
        <v>562</v>
      </c>
      <c r="E494" t="s">
        <v>251</v>
      </c>
      <c r="F494" t="s">
        <v>88</v>
      </c>
      <c r="G494">
        <v>44.867221000000001</v>
      </c>
      <c r="H494">
        <v>-123.19833300000001</v>
      </c>
      <c r="K494" t="s">
        <v>89</v>
      </c>
      <c r="L494">
        <v>1</v>
      </c>
      <c r="M494" t="s">
        <v>90</v>
      </c>
      <c r="N494" t="s">
        <v>91</v>
      </c>
      <c r="O494" t="s">
        <v>92</v>
      </c>
      <c r="S494" t="s">
        <v>93</v>
      </c>
      <c r="T494" t="s">
        <v>109</v>
      </c>
      <c r="U494" t="s">
        <v>95</v>
      </c>
    </row>
    <row r="495" spans="1:21" x14ac:dyDescent="0.3">
      <c r="A495" t="s">
        <v>1273</v>
      </c>
      <c r="B495" s="6" t="str">
        <f>HYPERLINK("http://data.ntsb.gov/carol-repgen/api/Aviation/ReportMain/GenerateNewestReport/99620/pdf","AccidentReport")</f>
        <v>AccidentReport</v>
      </c>
      <c r="C495" t="s">
        <v>1274</v>
      </c>
      <c r="D495" t="s">
        <v>1275</v>
      </c>
      <c r="E495" t="s">
        <v>154</v>
      </c>
      <c r="F495" t="s">
        <v>88</v>
      </c>
      <c r="G495">
        <v>32.697775999999998</v>
      </c>
      <c r="H495">
        <v>-95.213606999999996</v>
      </c>
      <c r="J495">
        <v>2</v>
      </c>
      <c r="K495" t="s">
        <v>99</v>
      </c>
      <c r="L495">
        <v>1</v>
      </c>
      <c r="M495" t="s">
        <v>90</v>
      </c>
      <c r="N495" t="s">
        <v>91</v>
      </c>
      <c r="O495" t="s">
        <v>92</v>
      </c>
      <c r="S495" t="s">
        <v>108</v>
      </c>
      <c r="T495" t="s">
        <v>159</v>
      </c>
      <c r="U495" t="s">
        <v>119</v>
      </c>
    </row>
    <row r="496" spans="1:21" x14ac:dyDescent="0.3">
      <c r="A496" t="s">
        <v>1276</v>
      </c>
      <c r="B496" s="6" t="str">
        <f>HYPERLINK("http://data.ntsb.gov/carol-repgen/api/Aviation/ReportMain/GenerateNewestReport/99651/pdf","AccidentReport")</f>
        <v>AccidentReport</v>
      </c>
      <c r="C496" t="s">
        <v>1274</v>
      </c>
      <c r="D496" t="s">
        <v>1277</v>
      </c>
      <c r="E496" t="s">
        <v>154</v>
      </c>
      <c r="F496" t="s">
        <v>88</v>
      </c>
      <c r="G496">
        <v>32.952499000000003</v>
      </c>
      <c r="H496">
        <v>-96.095832000000001</v>
      </c>
      <c r="K496" t="s">
        <v>155</v>
      </c>
      <c r="L496">
        <v>1</v>
      </c>
      <c r="M496" t="s">
        <v>90</v>
      </c>
      <c r="N496" t="s">
        <v>91</v>
      </c>
      <c r="O496" t="s">
        <v>92</v>
      </c>
      <c r="S496" t="s">
        <v>108</v>
      </c>
      <c r="T496" t="s">
        <v>749</v>
      </c>
      <c r="U496" t="s">
        <v>150</v>
      </c>
    </row>
    <row r="497" spans="1:21" x14ac:dyDescent="0.3">
      <c r="A497" t="s">
        <v>1278</v>
      </c>
      <c r="B497" s="6" t="str">
        <f>HYPERLINK("http://data.ntsb.gov/carol-repgen/api/Aviation/ReportMain/GenerateNewestReport/99669/pdf","AccidentReport")</f>
        <v>AccidentReport</v>
      </c>
      <c r="C497" t="s">
        <v>1274</v>
      </c>
      <c r="D497" t="s">
        <v>1279</v>
      </c>
      <c r="E497" t="s">
        <v>87</v>
      </c>
      <c r="F497" t="s">
        <v>88</v>
      </c>
      <c r="G497">
        <v>44.731473999999999</v>
      </c>
      <c r="H497">
        <v>-94.712573000000006</v>
      </c>
      <c r="K497" t="s">
        <v>89</v>
      </c>
      <c r="L497">
        <v>1</v>
      </c>
      <c r="M497" t="s">
        <v>90</v>
      </c>
      <c r="N497" t="s">
        <v>91</v>
      </c>
      <c r="O497" t="s">
        <v>92</v>
      </c>
      <c r="S497" t="s">
        <v>418</v>
      </c>
      <c r="T497" t="s">
        <v>109</v>
      </c>
      <c r="U497" t="s">
        <v>95</v>
      </c>
    </row>
    <row r="498" spans="1:21" x14ac:dyDescent="0.3">
      <c r="A498" t="s">
        <v>1280</v>
      </c>
      <c r="B498" s="6" t="str">
        <f>HYPERLINK("http://data.ntsb.gov/carol-repgen/api/Aviation/ReportMain/GenerateNewestReport/99625/pdf","AccidentReport")</f>
        <v>AccidentReport</v>
      </c>
      <c r="C498" t="s">
        <v>1274</v>
      </c>
      <c r="D498" t="s">
        <v>1281</v>
      </c>
      <c r="E498" t="s">
        <v>154</v>
      </c>
      <c r="F498" t="s">
        <v>88</v>
      </c>
      <c r="G498">
        <v>26.148056</v>
      </c>
      <c r="H498">
        <v>-97.589995999999999</v>
      </c>
      <c r="K498" t="s">
        <v>89</v>
      </c>
      <c r="L498">
        <v>1</v>
      </c>
      <c r="M498" t="s">
        <v>90</v>
      </c>
      <c r="N498" t="s">
        <v>91</v>
      </c>
      <c r="O498" t="s">
        <v>169</v>
      </c>
      <c r="S498" t="s">
        <v>515</v>
      </c>
      <c r="T498" t="s">
        <v>102</v>
      </c>
      <c r="U498" t="s">
        <v>248</v>
      </c>
    </row>
    <row r="499" spans="1:21" x14ac:dyDescent="0.3">
      <c r="A499" t="s">
        <v>1282</v>
      </c>
      <c r="B499" s="6" t="str">
        <f>HYPERLINK("http://data.ntsb.gov/carol-repgen/api/Aviation/ReportMain/GenerateNewestReport/99623/pdf","AccidentReport")</f>
        <v>AccidentReport</v>
      </c>
      <c r="C499" t="s">
        <v>1274</v>
      </c>
      <c r="D499" t="s">
        <v>1283</v>
      </c>
      <c r="E499" t="s">
        <v>122</v>
      </c>
      <c r="F499" t="s">
        <v>88</v>
      </c>
      <c r="G499">
        <v>44.178333000000002</v>
      </c>
      <c r="H499">
        <v>-114.89167</v>
      </c>
      <c r="J499">
        <v>2</v>
      </c>
      <c r="K499" t="s">
        <v>99</v>
      </c>
      <c r="L499">
        <v>1</v>
      </c>
      <c r="M499" t="s">
        <v>90</v>
      </c>
      <c r="N499" t="s">
        <v>91</v>
      </c>
      <c r="O499" t="s">
        <v>92</v>
      </c>
      <c r="S499" t="s">
        <v>108</v>
      </c>
      <c r="T499" t="s">
        <v>934</v>
      </c>
      <c r="U499" t="s">
        <v>186</v>
      </c>
    </row>
    <row r="500" spans="1:21" x14ac:dyDescent="0.3">
      <c r="A500" t="s">
        <v>1284</v>
      </c>
      <c r="B500" s="6" t="str">
        <f>HYPERLINK("http://data.ntsb.gov/carol-repgen/api/Aviation/ReportMain/GenerateNewestReport/99629/pdf","AccidentReport")</f>
        <v>AccidentReport</v>
      </c>
      <c r="C500" t="s">
        <v>1285</v>
      </c>
      <c r="D500" t="s">
        <v>1286</v>
      </c>
      <c r="E500" t="s">
        <v>154</v>
      </c>
      <c r="F500" t="s">
        <v>88</v>
      </c>
      <c r="G500">
        <v>30.782499000000001</v>
      </c>
      <c r="H500">
        <v>-95.487503000000004</v>
      </c>
      <c r="I500">
        <v>1</v>
      </c>
      <c r="J500">
        <v>1</v>
      </c>
      <c r="K500" t="s">
        <v>107</v>
      </c>
      <c r="L500">
        <v>1</v>
      </c>
      <c r="M500" t="s">
        <v>147</v>
      </c>
      <c r="N500" t="s">
        <v>91</v>
      </c>
      <c r="O500" t="s">
        <v>92</v>
      </c>
      <c r="S500" t="s">
        <v>108</v>
      </c>
      <c r="T500" t="s">
        <v>118</v>
      </c>
      <c r="U500" t="s">
        <v>186</v>
      </c>
    </row>
    <row r="501" spans="1:21" x14ac:dyDescent="0.3">
      <c r="A501" t="s">
        <v>1287</v>
      </c>
      <c r="B501" s="6" t="str">
        <f>HYPERLINK("http://data.ntsb.gov/carol-repgen/api/Aviation/ReportMain/GenerateNewestReport/99649/pdf","AccidentReport")</f>
        <v>AccidentReport</v>
      </c>
      <c r="C501" t="s">
        <v>1285</v>
      </c>
      <c r="D501" t="s">
        <v>1288</v>
      </c>
      <c r="E501" t="s">
        <v>1289</v>
      </c>
      <c r="F501" t="s">
        <v>88</v>
      </c>
      <c r="G501">
        <v>39.574722000000001</v>
      </c>
      <c r="H501">
        <v>-77.971389000000002</v>
      </c>
      <c r="K501" t="s">
        <v>155</v>
      </c>
      <c r="L501">
        <v>1</v>
      </c>
      <c r="M501" t="s">
        <v>90</v>
      </c>
      <c r="N501" t="s">
        <v>91</v>
      </c>
      <c r="O501" t="s">
        <v>92</v>
      </c>
      <c r="S501" t="s">
        <v>108</v>
      </c>
      <c r="T501" t="s">
        <v>159</v>
      </c>
      <c r="U501" t="s">
        <v>150</v>
      </c>
    </row>
    <row r="502" spans="1:21" x14ac:dyDescent="0.3">
      <c r="A502" t="s">
        <v>1290</v>
      </c>
      <c r="B502" s="6" t="str">
        <f>HYPERLINK("http://data.ntsb.gov/carol-repgen/api/Aviation/ReportMain/GenerateNewestReport/99654/pdf","AccidentReport")</f>
        <v>AccidentReport</v>
      </c>
      <c r="C502" t="s">
        <v>1285</v>
      </c>
      <c r="D502" t="s">
        <v>1291</v>
      </c>
      <c r="E502" t="s">
        <v>265</v>
      </c>
      <c r="F502" t="s">
        <v>88</v>
      </c>
      <c r="G502">
        <v>38.525554</v>
      </c>
      <c r="H502">
        <v>-77.859724999999997</v>
      </c>
      <c r="K502" t="s">
        <v>89</v>
      </c>
      <c r="L502">
        <v>1</v>
      </c>
      <c r="M502" t="s">
        <v>90</v>
      </c>
      <c r="N502" t="s">
        <v>91</v>
      </c>
      <c r="O502" t="s">
        <v>92</v>
      </c>
      <c r="S502" t="s">
        <v>108</v>
      </c>
      <c r="T502" t="s">
        <v>94</v>
      </c>
      <c r="U502" t="s">
        <v>248</v>
      </c>
    </row>
    <row r="503" spans="1:21" x14ac:dyDescent="0.3">
      <c r="A503" t="s">
        <v>1292</v>
      </c>
      <c r="B503" s="6" t="str">
        <f>HYPERLINK("http://data.ntsb.gov/carol-repgen/api/Aviation/ReportMain/GenerateNewestReport/99678/pdf","AccidentReport")</f>
        <v>AccidentReport</v>
      </c>
      <c r="C503" t="s">
        <v>1285</v>
      </c>
      <c r="D503" t="s">
        <v>294</v>
      </c>
      <c r="E503" t="s">
        <v>98</v>
      </c>
      <c r="F503" t="s">
        <v>88</v>
      </c>
      <c r="G503">
        <v>28.221388999999999</v>
      </c>
      <c r="H503">
        <v>-82.374442999999999</v>
      </c>
      <c r="K503" t="s">
        <v>89</v>
      </c>
      <c r="L503">
        <v>1</v>
      </c>
      <c r="M503" t="s">
        <v>90</v>
      </c>
      <c r="N503" t="s">
        <v>91</v>
      </c>
      <c r="O503" t="s">
        <v>92</v>
      </c>
      <c r="S503" t="s">
        <v>108</v>
      </c>
      <c r="T503" t="s">
        <v>94</v>
      </c>
      <c r="U503" t="s">
        <v>95</v>
      </c>
    </row>
    <row r="504" spans="1:21" x14ac:dyDescent="0.3">
      <c r="A504" t="s">
        <v>1293</v>
      </c>
      <c r="B504" s="6" t="str">
        <f>HYPERLINK("http://data.ntsb.gov/carol-repgen/api/Aviation/ReportMain/GenerateNewestReport/99671/pdf","AccidentReport")</f>
        <v>AccidentReport</v>
      </c>
      <c r="C504" t="s">
        <v>1294</v>
      </c>
      <c r="D504" t="s">
        <v>1295</v>
      </c>
      <c r="E504" t="s">
        <v>536</v>
      </c>
      <c r="F504" t="s">
        <v>88</v>
      </c>
      <c r="G504">
        <v>38.013331999999998</v>
      </c>
      <c r="H504">
        <v>-75.818611000000004</v>
      </c>
      <c r="K504" t="s">
        <v>155</v>
      </c>
      <c r="L504">
        <v>1</v>
      </c>
      <c r="M504" t="s">
        <v>90</v>
      </c>
      <c r="N504" t="s">
        <v>91</v>
      </c>
      <c r="O504" t="s">
        <v>92</v>
      </c>
      <c r="S504" t="s">
        <v>108</v>
      </c>
      <c r="T504" t="s">
        <v>442</v>
      </c>
      <c r="U504" t="s">
        <v>119</v>
      </c>
    </row>
    <row r="505" spans="1:21" x14ac:dyDescent="0.3">
      <c r="A505" t="s">
        <v>1296</v>
      </c>
      <c r="B505" s="6" t="str">
        <f>HYPERLINK("http://data.ntsb.gov/carol-repgen/api/Aviation/ReportMain/GenerateNewestReport/99644/pdf","AccidentReport")</f>
        <v>AccidentReport</v>
      </c>
      <c r="C505" t="s">
        <v>1294</v>
      </c>
      <c r="D505" t="s">
        <v>1135</v>
      </c>
      <c r="E505" t="s">
        <v>154</v>
      </c>
      <c r="F505" t="s">
        <v>88</v>
      </c>
      <c r="G505">
        <v>29.739166000000001</v>
      </c>
      <c r="H505">
        <v>-98.451385000000002</v>
      </c>
      <c r="K505" t="s">
        <v>155</v>
      </c>
      <c r="L505">
        <v>1</v>
      </c>
      <c r="M505" t="s">
        <v>90</v>
      </c>
      <c r="N505" t="s">
        <v>100</v>
      </c>
      <c r="O505" t="s">
        <v>92</v>
      </c>
      <c r="S505" t="s">
        <v>93</v>
      </c>
      <c r="T505" t="s">
        <v>94</v>
      </c>
      <c r="U505" t="s">
        <v>95</v>
      </c>
    </row>
    <row r="506" spans="1:21" x14ac:dyDescent="0.3">
      <c r="A506" t="s">
        <v>1297</v>
      </c>
      <c r="B506" s="6" t="str">
        <f>HYPERLINK("http://data.ntsb.gov/carol-repgen/api/Aviation/ReportMain/GenerateNewestReport/99646/pdf","AccidentReport")</f>
        <v>AccidentReport</v>
      </c>
      <c r="C506" t="s">
        <v>1294</v>
      </c>
      <c r="D506" t="s">
        <v>1298</v>
      </c>
      <c r="E506" t="s">
        <v>233</v>
      </c>
      <c r="F506" t="s">
        <v>88</v>
      </c>
      <c r="G506">
        <v>55.920195999999997</v>
      </c>
      <c r="H506">
        <v>-159.48916600000001</v>
      </c>
      <c r="K506" t="s">
        <v>89</v>
      </c>
      <c r="L506">
        <v>1</v>
      </c>
      <c r="M506" t="s">
        <v>90</v>
      </c>
      <c r="N506" t="s">
        <v>91</v>
      </c>
      <c r="O506" t="s">
        <v>92</v>
      </c>
      <c r="S506" t="s">
        <v>108</v>
      </c>
      <c r="T506" t="s">
        <v>94</v>
      </c>
      <c r="U506" t="s">
        <v>95</v>
      </c>
    </row>
    <row r="507" spans="1:21" x14ac:dyDescent="0.3">
      <c r="A507" t="s">
        <v>1299</v>
      </c>
      <c r="B507" s="6" t="str">
        <f>HYPERLINK("http://data.ntsb.gov/carol-repgen/api/Aviation/ReportMain/GenerateNewestReport/99696/pdf","AccidentReport")</f>
        <v>AccidentReport</v>
      </c>
      <c r="C507" t="s">
        <v>1294</v>
      </c>
      <c r="D507" t="s">
        <v>751</v>
      </c>
      <c r="E507" t="s">
        <v>260</v>
      </c>
      <c r="F507" t="s">
        <v>88</v>
      </c>
      <c r="G507">
        <v>37.633609</v>
      </c>
      <c r="H507">
        <v>-85.241943000000006</v>
      </c>
      <c r="K507" t="s">
        <v>155</v>
      </c>
      <c r="L507">
        <v>1</v>
      </c>
      <c r="M507" t="s">
        <v>90</v>
      </c>
      <c r="N507" t="s">
        <v>91</v>
      </c>
      <c r="O507" t="s">
        <v>92</v>
      </c>
      <c r="S507" t="s">
        <v>108</v>
      </c>
      <c r="T507" t="s">
        <v>94</v>
      </c>
      <c r="U507" t="s">
        <v>95</v>
      </c>
    </row>
    <row r="508" spans="1:21" x14ac:dyDescent="0.3">
      <c r="A508" t="s">
        <v>1300</v>
      </c>
      <c r="B508" s="6" t="str">
        <f>HYPERLINK("http://data.ntsb.gov/carol-repgen/api/Aviation/ReportMain/GenerateNewestReport/99631/pdf","AccidentReport")</f>
        <v>AccidentReport</v>
      </c>
      <c r="C508" t="s">
        <v>1294</v>
      </c>
      <c r="D508" t="s">
        <v>1301</v>
      </c>
      <c r="E508" t="s">
        <v>106</v>
      </c>
      <c r="F508" t="s">
        <v>88</v>
      </c>
      <c r="G508">
        <v>34.316111999999997</v>
      </c>
      <c r="H508">
        <v>-118.57333300000001</v>
      </c>
      <c r="I508">
        <v>1</v>
      </c>
      <c r="K508" t="s">
        <v>107</v>
      </c>
      <c r="L508">
        <v>1</v>
      </c>
      <c r="M508" t="s">
        <v>90</v>
      </c>
      <c r="N508" t="s">
        <v>91</v>
      </c>
      <c r="O508" t="s">
        <v>92</v>
      </c>
      <c r="S508" t="s">
        <v>108</v>
      </c>
      <c r="T508" t="s">
        <v>381</v>
      </c>
      <c r="U508" t="s">
        <v>186</v>
      </c>
    </row>
    <row r="509" spans="1:21" x14ac:dyDescent="0.3">
      <c r="A509" t="s">
        <v>1302</v>
      </c>
      <c r="B509" s="6" t="str">
        <f>HYPERLINK("http://data.ntsb.gov/carol-repgen/api/Aviation/ReportMain/GenerateNewestReport/99648/pdf","AccidentReport")</f>
        <v>AccidentReport</v>
      </c>
      <c r="C509" t="s">
        <v>1294</v>
      </c>
      <c r="D509" t="s">
        <v>880</v>
      </c>
      <c r="E509" t="s">
        <v>106</v>
      </c>
      <c r="F509" t="s">
        <v>88</v>
      </c>
      <c r="G509">
        <v>34.113334000000002</v>
      </c>
      <c r="H509">
        <v>-117.68055699999999</v>
      </c>
      <c r="J509">
        <v>3</v>
      </c>
      <c r="K509" t="s">
        <v>99</v>
      </c>
      <c r="L509">
        <v>1</v>
      </c>
      <c r="M509" t="s">
        <v>90</v>
      </c>
      <c r="N509" t="s">
        <v>91</v>
      </c>
      <c r="O509" t="s">
        <v>92</v>
      </c>
      <c r="S509" t="s">
        <v>108</v>
      </c>
      <c r="T509" t="s">
        <v>159</v>
      </c>
      <c r="U509" t="s">
        <v>150</v>
      </c>
    </row>
    <row r="510" spans="1:21" x14ac:dyDescent="0.3">
      <c r="A510" t="s">
        <v>1303</v>
      </c>
      <c r="B510" s="6" t="str">
        <f>HYPERLINK("http://data.ntsb.gov/carol-repgen/api/Aviation/ReportMain/GenerateNewestReport/99645/pdf","AccidentReport")</f>
        <v>AccidentReport</v>
      </c>
      <c r="C510" t="s">
        <v>1304</v>
      </c>
      <c r="D510" t="s">
        <v>1128</v>
      </c>
      <c r="E510" t="s">
        <v>233</v>
      </c>
      <c r="F510" t="s">
        <v>88</v>
      </c>
      <c r="G510">
        <v>64.930000000000007</v>
      </c>
      <c r="H510">
        <v>-148.83999600000001</v>
      </c>
      <c r="K510" t="s">
        <v>89</v>
      </c>
      <c r="L510">
        <v>1</v>
      </c>
      <c r="M510" t="s">
        <v>90</v>
      </c>
      <c r="N510" t="s">
        <v>91</v>
      </c>
      <c r="O510" t="s">
        <v>92</v>
      </c>
      <c r="S510" t="s">
        <v>93</v>
      </c>
      <c r="T510" t="s">
        <v>94</v>
      </c>
      <c r="U510" t="s">
        <v>248</v>
      </c>
    </row>
    <row r="511" spans="1:21" x14ac:dyDescent="0.3">
      <c r="A511" t="s">
        <v>1305</v>
      </c>
      <c r="B511" s="6" t="str">
        <f>HYPERLINK("http://data.ntsb.gov/carol-repgen/api/Aviation/ReportMain/GenerateNewestReport/99632/pdf","AccidentReport")</f>
        <v>AccidentReport</v>
      </c>
      <c r="C511" t="s">
        <v>1304</v>
      </c>
      <c r="D511" t="s">
        <v>1306</v>
      </c>
      <c r="E511" t="s">
        <v>106</v>
      </c>
      <c r="F511" t="s">
        <v>88</v>
      </c>
      <c r="G511">
        <v>37.899444000000003</v>
      </c>
      <c r="H511">
        <v>-120.58638000000001</v>
      </c>
      <c r="I511">
        <v>1</v>
      </c>
      <c r="K511" t="s">
        <v>107</v>
      </c>
      <c r="L511">
        <v>1</v>
      </c>
      <c r="M511" t="s">
        <v>147</v>
      </c>
      <c r="N511" t="s">
        <v>91</v>
      </c>
      <c r="O511" t="s">
        <v>92</v>
      </c>
      <c r="S511" t="s">
        <v>108</v>
      </c>
      <c r="T511" t="s">
        <v>113</v>
      </c>
      <c r="U511" t="s">
        <v>103</v>
      </c>
    </row>
    <row r="512" spans="1:21" x14ac:dyDescent="0.3">
      <c r="A512" t="s">
        <v>1307</v>
      </c>
      <c r="B512" s="6" t="str">
        <f>HYPERLINK("http://data.ntsb.gov/carol-repgen/api/Aviation/ReportMain/GenerateNewestReport/99664/pdf","AccidentReport")</f>
        <v>AccidentReport</v>
      </c>
      <c r="C512" t="s">
        <v>1308</v>
      </c>
      <c r="D512" t="s">
        <v>808</v>
      </c>
      <c r="E512" t="s">
        <v>98</v>
      </c>
      <c r="F512" t="s">
        <v>88</v>
      </c>
      <c r="G512">
        <v>24.551666000000001</v>
      </c>
      <c r="H512">
        <v>-81.764442000000003</v>
      </c>
      <c r="K512" t="s">
        <v>89</v>
      </c>
      <c r="L512">
        <v>1</v>
      </c>
      <c r="M512" t="s">
        <v>90</v>
      </c>
      <c r="N512" t="s">
        <v>100</v>
      </c>
      <c r="O512" t="s">
        <v>92</v>
      </c>
      <c r="S512" t="s">
        <v>101</v>
      </c>
      <c r="T512" t="s">
        <v>381</v>
      </c>
      <c r="U512" t="s">
        <v>381</v>
      </c>
    </row>
    <row r="513" spans="1:21" x14ac:dyDescent="0.3">
      <c r="A513" t="s">
        <v>1309</v>
      </c>
      <c r="B513" s="6" t="str">
        <f>HYPERLINK("http://data.ntsb.gov/carol-repgen/api/Aviation/ReportMain/GenerateNewestReport/99639/pdf","AccidentReport")</f>
        <v>AccidentReport</v>
      </c>
      <c r="C513" t="s">
        <v>1308</v>
      </c>
      <c r="D513" t="s">
        <v>1310</v>
      </c>
      <c r="E513" t="s">
        <v>651</v>
      </c>
      <c r="F513" t="s">
        <v>88</v>
      </c>
      <c r="G513">
        <v>42.084445000000002</v>
      </c>
      <c r="H513">
        <v>-76.094443999999996</v>
      </c>
      <c r="I513">
        <v>1</v>
      </c>
      <c r="J513">
        <v>0</v>
      </c>
      <c r="K513" t="s">
        <v>107</v>
      </c>
      <c r="L513">
        <v>1</v>
      </c>
      <c r="M513" t="s">
        <v>90</v>
      </c>
      <c r="N513" t="s">
        <v>91</v>
      </c>
      <c r="O513" t="s">
        <v>92</v>
      </c>
      <c r="S513" t="s">
        <v>108</v>
      </c>
      <c r="T513" t="s">
        <v>102</v>
      </c>
      <c r="U513" t="s">
        <v>103</v>
      </c>
    </row>
    <row r="514" spans="1:21" x14ac:dyDescent="0.3">
      <c r="A514" t="s">
        <v>1311</v>
      </c>
      <c r="B514" s="6" t="str">
        <f>HYPERLINK("http://data.ntsb.gov/carol-repgen/api/Aviation/ReportMain/GenerateNewestReport/99676/pdf","AccidentReport")</f>
        <v>AccidentReport</v>
      </c>
      <c r="C514" t="s">
        <v>1308</v>
      </c>
      <c r="D514" t="s">
        <v>1312</v>
      </c>
      <c r="E514" t="s">
        <v>390</v>
      </c>
      <c r="F514" t="s">
        <v>88</v>
      </c>
      <c r="G514">
        <v>40.582777999999998</v>
      </c>
      <c r="H514">
        <v>-74.736662999999993</v>
      </c>
      <c r="K514" t="s">
        <v>89</v>
      </c>
      <c r="L514">
        <v>1</v>
      </c>
      <c r="M514" t="s">
        <v>90</v>
      </c>
      <c r="N514" t="s">
        <v>91</v>
      </c>
      <c r="O514" t="s">
        <v>92</v>
      </c>
      <c r="S514" t="s">
        <v>108</v>
      </c>
      <c r="T514" t="s">
        <v>109</v>
      </c>
      <c r="U514" t="s">
        <v>95</v>
      </c>
    </row>
    <row r="515" spans="1:21" x14ac:dyDescent="0.3">
      <c r="A515" t="s">
        <v>1313</v>
      </c>
      <c r="B515" s="6" t="str">
        <f>HYPERLINK("http://data.ntsb.gov/carol-repgen/api/Aviation/ReportMain/GenerateNewestReport/99655/pdf","AccidentReport")</f>
        <v>AccidentReport</v>
      </c>
      <c r="C515" t="s">
        <v>1308</v>
      </c>
      <c r="D515" t="s">
        <v>1314</v>
      </c>
      <c r="E515" t="s">
        <v>399</v>
      </c>
      <c r="F515" t="s">
        <v>88</v>
      </c>
      <c r="G515">
        <v>37.043056</v>
      </c>
      <c r="H515">
        <v>-100.92111199999999</v>
      </c>
      <c r="K515" t="s">
        <v>89</v>
      </c>
      <c r="L515">
        <v>1</v>
      </c>
      <c r="M515" t="s">
        <v>90</v>
      </c>
      <c r="N515" t="s">
        <v>91</v>
      </c>
      <c r="O515" t="s">
        <v>169</v>
      </c>
      <c r="S515" t="s">
        <v>515</v>
      </c>
      <c r="T515" t="s">
        <v>113</v>
      </c>
      <c r="U515" t="s">
        <v>103</v>
      </c>
    </row>
    <row r="516" spans="1:21" x14ac:dyDescent="0.3">
      <c r="A516" t="s">
        <v>1315</v>
      </c>
      <c r="B516" s="6" t="str">
        <f>HYPERLINK("http://data.ntsb.gov/carol-repgen/api/Aviation/ReportMain/GenerateNewestReport/99674/pdf","AccidentReport")</f>
        <v>AccidentReport</v>
      </c>
      <c r="C516" t="s">
        <v>1308</v>
      </c>
      <c r="D516" t="s">
        <v>1316</v>
      </c>
      <c r="E516" t="s">
        <v>117</v>
      </c>
      <c r="F516" t="s">
        <v>88</v>
      </c>
      <c r="G516">
        <v>41.391109</v>
      </c>
      <c r="H516">
        <v>-75.331665000000001</v>
      </c>
      <c r="K516" t="s">
        <v>155</v>
      </c>
      <c r="L516">
        <v>1</v>
      </c>
      <c r="M516" t="s">
        <v>90</v>
      </c>
      <c r="N516" t="s">
        <v>91</v>
      </c>
      <c r="O516" t="s">
        <v>92</v>
      </c>
      <c r="S516" t="s">
        <v>108</v>
      </c>
      <c r="T516" t="s">
        <v>94</v>
      </c>
      <c r="U516" t="s">
        <v>248</v>
      </c>
    </row>
    <row r="517" spans="1:21" x14ac:dyDescent="0.3">
      <c r="A517" t="s">
        <v>1317</v>
      </c>
      <c r="B517" s="6" t="str">
        <f>HYPERLINK("http://data.ntsb.gov/carol-repgen/api/Aviation/ReportMain/GenerateNewestReport/99684/pdf","AccidentReport")</f>
        <v>AccidentReport</v>
      </c>
      <c r="C517" t="s">
        <v>1308</v>
      </c>
      <c r="D517" t="s">
        <v>1318</v>
      </c>
      <c r="E517" t="s">
        <v>233</v>
      </c>
      <c r="F517" t="s">
        <v>88</v>
      </c>
      <c r="G517">
        <v>61.929850999999999</v>
      </c>
      <c r="H517">
        <v>-151.729095</v>
      </c>
      <c r="K517" t="s">
        <v>89</v>
      </c>
      <c r="L517">
        <v>1</v>
      </c>
      <c r="M517" t="s">
        <v>90</v>
      </c>
      <c r="N517" t="s">
        <v>91</v>
      </c>
      <c r="O517" t="s">
        <v>92</v>
      </c>
      <c r="S517" t="s">
        <v>108</v>
      </c>
      <c r="T517" t="s">
        <v>94</v>
      </c>
      <c r="U517" t="s">
        <v>248</v>
      </c>
    </row>
    <row r="518" spans="1:21" x14ac:dyDescent="0.3">
      <c r="A518" t="s">
        <v>1319</v>
      </c>
      <c r="B518" s="6" t="str">
        <f>HYPERLINK("http://data.ntsb.gov/carol-repgen/api/Aviation/ReportMain/GenerateNewestReport/100004/pdf","AccidentReport")</f>
        <v>AccidentReport</v>
      </c>
      <c r="C518" t="s">
        <v>1308</v>
      </c>
      <c r="D518" t="s">
        <v>1320</v>
      </c>
      <c r="E518" t="s">
        <v>106</v>
      </c>
      <c r="F518" t="s">
        <v>88</v>
      </c>
      <c r="G518">
        <v>39.097777999999998</v>
      </c>
      <c r="H518">
        <v>-121.56972500000001</v>
      </c>
      <c r="K518" t="s">
        <v>89</v>
      </c>
      <c r="L518">
        <v>1</v>
      </c>
      <c r="M518" t="s">
        <v>90</v>
      </c>
      <c r="N518" t="s">
        <v>91</v>
      </c>
      <c r="O518" t="s">
        <v>92</v>
      </c>
      <c r="S518" t="s">
        <v>108</v>
      </c>
      <c r="T518" t="s">
        <v>94</v>
      </c>
      <c r="U518" t="s">
        <v>95</v>
      </c>
    </row>
    <row r="519" spans="1:21" x14ac:dyDescent="0.3">
      <c r="A519" t="s">
        <v>1321</v>
      </c>
      <c r="B519" s="6" t="str">
        <f>HYPERLINK("http://data.ntsb.gov/carol-repgen/api/Aviation/ReportMain/GenerateNewestReport/99658/pdf","AccidentReport")</f>
        <v>AccidentReport</v>
      </c>
      <c r="C519" t="s">
        <v>1308</v>
      </c>
      <c r="D519" t="s">
        <v>1322</v>
      </c>
      <c r="E519" t="s">
        <v>106</v>
      </c>
      <c r="F519" t="s">
        <v>88</v>
      </c>
      <c r="G519">
        <v>33.462775999999998</v>
      </c>
      <c r="H519">
        <v>-118.57472</v>
      </c>
      <c r="I519">
        <v>1</v>
      </c>
      <c r="K519" t="s">
        <v>107</v>
      </c>
      <c r="L519">
        <v>1</v>
      </c>
      <c r="M519" t="s">
        <v>147</v>
      </c>
      <c r="N519" t="s">
        <v>100</v>
      </c>
      <c r="O519" t="s">
        <v>92</v>
      </c>
      <c r="S519" t="s">
        <v>108</v>
      </c>
      <c r="T519" t="s">
        <v>279</v>
      </c>
      <c r="U519" t="s">
        <v>186</v>
      </c>
    </row>
    <row r="520" spans="1:21" x14ac:dyDescent="0.3">
      <c r="A520" t="s">
        <v>1323</v>
      </c>
      <c r="B520" s="6" t="str">
        <f>HYPERLINK("http://data.ntsb.gov/carol-repgen/api/Aviation/ReportMain/GenerateNewestReport/99665/pdf","AccidentReport")</f>
        <v>AccidentReport</v>
      </c>
      <c r="C520" t="s">
        <v>1324</v>
      </c>
      <c r="D520" t="s">
        <v>1325</v>
      </c>
      <c r="E520" t="s">
        <v>146</v>
      </c>
      <c r="F520" t="s">
        <v>88</v>
      </c>
      <c r="G520">
        <v>35.963889999999999</v>
      </c>
      <c r="H520">
        <v>-83.873610999999997</v>
      </c>
      <c r="K520" t="s">
        <v>155</v>
      </c>
      <c r="L520">
        <v>1</v>
      </c>
      <c r="M520" t="s">
        <v>147</v>
      </c>
      <c r="N520" t="s">
        <v>91</v>
      </c>
      <c r="O520" t="s">
        <v>92</v>
      </c>
      <c r="S520" t="s">
        <v>108</v>
      </c>
      <c r="T520" t="s">
        <v>381</v>
      </c>
      <c r="U520" t="s">
        <v>381</v>
      </c>
    </row>
    <row r="521" spans="1:21" x14ac:dyDescent="0.3">
      <c r="A521" t="s">
        <v>1326</v>
      </c>
      <c r="B521" s="6" t="str">
        <f>HYPERLINK("http://data.ntsb.gov/carol-repgen/api/Aviation/ReportMain/GenerateNewestReport/99661/pdf","AccidentReport")</f>
        <v>AccidentReport</v>
      </c>
      <c r="C521" t="s">
        <v>1324</v>
      </c>
      <c r="D521" t="s">
        <v>1327</v>
      </c>
      <c r="E521" t="s">
        <v>192</v>
      </c>
      <c r="F521" t="s">
        <v>88</v>
      </c>
      <c r="G521">
        <v>39.747501</v>
      </c>
      <c r="H521">
        <v>-111.871391</v>
      </c>
      <c r="K521" t="s">
        <v>155</v>
      </c>
      <c r="L521">
        <v>1</v>
      </c>
      <c r="M521" t="s">
        <v>90</v>
      </c>
      <c r="N521" t="s">
        <v>862</v>
      </c>
      <c r="O521" t="s">
        <v>92</v>
      </c>
      <c r="S521" t="s">
        <v>418</v>
      </c>
      <c r="T521" t="s">
        <v>102</v>
      </c>
      <c r="U521" t="s">
        <v>248</v>
      </c>
    </row>
    <row r="522" spans="1:21" x14ac:dyDescent="0.3">
      <c r="A522" t="s">
        <v>1328</v>
      </c>
      <c r="B522" s="6" t="str">
        <f>HYPERLINK("http://data.ntsb.gov/carol-repgen/api/Aviation/ReportMain/GenerateNewestReport/99706/pdf","AccidentReport")</f>
        <v>AccidentReport</v>
      </c>
      <c r="C522" t="s">
        <v>1329</v>
      </c>
      <c r="D522" t="s">
        <v>1330</v>
      </c>
      <c r="E522" t="s">
        <v>233</v>
      </c>
      <c r="F522" t="s">
        <v>88</v>
      </c>
      <c r="G522">
        <v>61.341388000000002</v>
      </c>
      <c r="H522">
        <v>-148.35583399999999</v>
      </c>
      <c r="K522" t="s">
        <v>89</v>
      </c>
      <c r="L522">
        <v>1</v>
      </c>
      <c r="M522" t="s">
        <v>90</v>
      </c>
      <c r="N522" t="s">
        <v>91</v>
      </c>
      <c r="O522" t="s">
        <v>92</v>
      </c>
      <c r="S522" t="s">
        <v>108</v>
      </c>
      <c r="T522" t="s">
        <v>109</v>
      </c>
      <c r="U522" t="s">
        <v>95</v>
      </c>
    </row>
    <row r="523" spans="1:21" x14ac:dyDescent="0.3">
      <c r="A523" t="s">
        <v>1331</v>
      </c>
      <c r="B523" s="6" t="str">
        <f>HYPERLINK("http://data.ntsb.gov/carol-repgen/api/Aviation/ReportMain/GenerateNewestReport/99677/pdf","AccidentReport")</f>
        <v>AccidentReport</v>
      </c>
      <c r="C523" t="s">
        <v>1332</v>
      </c>
      <c r="D523" t="s">
        <v>1333</v>
      </c>
      <c r="E523" t="s">
        <v>142</v>
      </c>
      <c r="F523" t="s">
        <v>88</v>
      </c>
      <c r="G523">
        <v>40.846389000000002</v>
      </c>
      <c r="H523">
        <v>-84.158332000000001</v>
      </c>
      <c r="I523">
        <v>2</v>
      </c>
      <c r="K523" t="s">
        <v>107</v>
      </c>
      <c r="L523">
        <v>1</v>
      </c>
      <c r="M523" t="s">
        <v>147</v>
      </c>
      <c r="N523" t="s">
        <v>91</v>
      </c>
      <c r="O523" t="s">
        <v>92</v>
      </c>
      <c r="S523" t="s">
        <v>108</v>
      </c>
      <c r="T523" t="s">
        <v>102</v>
      </c>
      <c r="U523" t="s">
        <v>186</v>
      </c>
    </row>
    <row r="524" spans="1:21" x14ac:dyDescent="0.3">
      <c r="A524" t="s">
        <v>1334</v>
      </c>
      <c r="B524" s="6" t="str">
        <f>HYPERLINK("http://data.ntsb.gov/carol-repgen/api/Aviation/ReportMain/GenerateNewestReport/99679/pdf","AccidentReport")</f>
        <v>AccidentReport</v>
      </c>
      <c r="C524" t="s">
        <v>1332</v>
      </c>
      <c r="D524" t="s">
        <v>1335</v>
      </c>
      <c r="E524" t="s">
        <v>518</v>
      </c>
      <c r="F524" t="s">
        <v>88</v>
      </c>
      <c r="G524">
        <v>42.847220999999998</v>
      </c>
      <c r="H524">
        <v>-91.382225000000005</v>
      </c>
      <c r="K524" t="s">
        <v>89</v>
      </c>
      <c r="L524">
        <v>1</v>
      </c>
      <c r="M524" t="s">
        <v>90</v>
      </c>
      <c r="N524" t="s">
        <v>91</v>
      </c>
      <c r="O524" t="s">
        <v>92</v>
      </c>
      <c r="S524" t="s">
        <v>93</v>
      </c>
      <c r="T524" t="s">
        <v>411</v>
      </c>
      <c r="U524" t="s">
        <v>119</v>
      </c>
    </row>
    <row r="525" spans="1:21" x14ac:dyDescent="0.3">
      <c r="A525" t="s">
        <v>1336</v>
      </c>
      <c r="B525" s="6" t="str">
        <f>HYPERLINK("http://data.ntsb.gov/carol-repgen/api/Aviation/ReportMain/GenerateNewestReport/99867/pdf","AccidentReport")</f>
        <v>AccidentReport</v>
      </c>
      <c r="C525" t="s">
        <v>1332</v>
      </c>
      <c r="D525" t="s">
        <v>1110</v>
      </c>
      <c r="E525" t="s">
        <v>106</v>
      </c>
      <c r="F525" t="s">
        <v>88</v>
      </c>
      <c r="G525">
        <v>36.893332999999998</v>
      </c>
      <c r="H525">
        <v>-121.41027800000001</v>
      </c>
      <c r="K525" t="s">
        <v>155</v>
      </c>
      <c r="L525">
        <v>1</v>
      </c>
      <c r="M525" t="s">
        <v>90</v>
      </c>
      <c r="N525" t="s">
        <v>91</v>
      </c>
      <c r="O525" t="s">
        <v>92</v>
      </c>
      <c r="S525" t="s">
        <v>108</v>
      </c>
      <c r="T525" t="s">
        <v>159</v>
      </c>
      <c r="U525" t="s">
        <v>150</v>
      </c>
    </row>
    <row r="526" spans="1:21" x14ac:dyDescent="0.3">
      <c r="A526" t="s">
        <v>1337</v>
      </c>
      <c r="B526" s="6" t="str">
        <f>HYPERLINK("http://data.ntsb.gov/carol-repgen/api/Aviation/ReportMain/GenerateNewestReport/99682/pdf","AccidentReport")</f>
        <v>AccidentReport</v>
      </c>
      <c r="C526" t="s">
        <v>1332</v>
      </c>
      <c r="D526" t="s">
        <v>768</v>
      </c>
      <c r="E526" t="s">
        <v>106</v>
      </c>
      <c r="F526" t="s">
        <v>88</v>
      </c>
      <c r="G526">
        <v>33.869998000000002</v>
      </c>
      <c r="H526">
        <v>-117.990837</v>
      </c>
      <c r="K526" t="s">
        <v>89</v>
      </c>
      <c r="L526">
        <v>1</v>
      </c>
      <c r="M526" t="s">
        <v>90</v>
      </c>
      <c r="N526" t="s">
        <v>91</v>
      </c>
      <c r="O526" t="s">
        <v>92</v>
      </c>
      <c r="S526" t="s">
        <v>93</v>
      </c>
      <c r="T526" t="s">
        <v>159</v>
      </c>
      <c r="U526" t="s">
        <v>248</v>
      </c>
    </row>
    <row r="527" spans="1:21" x14ac:dyDescent="0.3">
      <c r="A527" t="s">
        <v>1338</v>
      </c>
      <c r="B527" s="6" t="str">
        <f>HYPERLINK("http://data.ntsb.gov/carol-repgen/api/Aviation/ReportMain/GenerateNewestReport/99694/pdf","AccidentReport")</f>
        <v>AccidentReport</v>
      </c>
      <c r="C527" t="s">
        <v>1339</v>
      </c>
      <c r="D527" t="s">
        <v>726</v>
      </c>
      <c r="E527" t="s">
        <v>233</v>
      </c>
      <c r="F527" t="s">
        <v>88</v>
      </c>
      <c r="G527">
        <v>59.941665</v>
      </c>
      <c r="H527">
        <v>-148.66444300000001</v>
      </c>
      <c r="I527">
        <v>3</v>
      </c>
      <c r="K527" t="s">
        <v>107</v>
      </c>
      <c r="L527">
        <v>1</v>
      </c>
      <c r="M527" t="s">
        <v>147</v>
      </c>
      <c r="N527" t="s">
        <v>91</v>
      </c>
      <c r="O527" t="s">
        <v>92</v>
      </c>
      <c r="S527" t="s">
        <v>108</v>
      </c>
      <c r="T527" t="s">
        <v>411</v>
      </c>
      <c r="U527" t="s">
        <v>248</v>
      </c>
    </row>
    <row r="528" spans="1:21" x14ac:dyDescent="0.3">
      <c r="A528" t="s">
        <v>1340</v>
      </c>
      <c r="B528" s="6" t="str">
        <f>HYPERLINK("http://data.ntsb.gov/carol-repgen/api/Aviation/ReportMain/GenerateNewestReport/99695/pdf","AccidentReport")</f>
        <v>AccidentReport</v>
      </c>
      <c r="C528" t="s">
        <v>1339</v>
      </c>
      <c r="D528" t="s">
        <v>1341</v>
      </c>
      <c r="E528" t="s">
        <v>138</v>
      </c>
      <c r="F528" t="s">
        <v>88</v>
      </c>
      <c r="G528">
        <v>42.717224000000002</v>
      </c>
      <c r="H528">
        <v>-82.611389000000003</v>
      </c>
      <c r="J528">
        <v>1</v>
      </c>
      <c r="K528" t="s">
        <v>99</v>
      </c>
      <c r="L528">
        <v>1</v>
      </c>
      <c r="M528" t="s">
        <v>90</v>
      </c>
      <c r="N528" t="s">
        <v>91</v>
      </c>
      <c r="O528" t="s">
        <v>92</v>
      </c>
      <c r="S528" t="s">
        <v>108</v>
      </c>
      <c r="T528" t="s">
        <v>159</v>
      </c>
      <c r="U528" t="s">
        <v>119</v>
      </c>
    </row>
    <row r="529" spans="1:21" x14ac:dyDescent="0.3">
      <c r="A529" t="s">
        <v>1342</v>
      </c>
      <c r="B529" s="6" t="str">
        <f>HYPERLINK("http://data.ntsb.gov/carol-repgen/api/Aviation/ReportMain/GenerateNewestReport/99693/pdf","AccidentReport")</f>
        <v>AccidentReport</v>
      </c>
      <c r="C529" t="s">
        <v>1339</v>
      </c>
      <c r="D529" t="s">
        <v>1233</v>
      </c>
      <c r="E529" t="s">
        <v>154</v>
      </c>
      <c r="F529" t="s">
        <v>88</v>
      </c>
      <c r="G529">
        <v>28.878333999999999</v>
      </c>
      <c r="H529">
        <v>-96.430830999999998</v>
      </c>
      <c r="K529" t="s">
        <v>89</v>
      </c>
      <c r="L529">
        <v>1</v>
      </c>
      <c r="M529" t="s">
        <v>90</v>
      </c>
      <c r="N529" t="s">
        <v>100</v>
      </c>
      <c r="O529" t="s">
        <v>169</v>
      </c>
      <c r="S529" t="s">
        <v>515</v>
      </c>
      <c r="T529" t="s">
        <v>102</v>
      </c>
      <c r="U529" t="s">
        <v>103</v>
      </c>
    </row>
    <row r="530" spans="1:21" x14ac:dyDescent="0.3">
      <c r="A530" t="s">
        <v>1343</v>
      </c>
      <c r="B530" s="6" t="str">
        <f>HYPERLINK("http://data.ntsb.gov/carol-repgen/api/Aviation/ReportMain/GenerateNewestReport/99683/pdf","AccidentReport")</f>
        <v>AccidentReport</v>
      </c>
      <c r="C530" t="s">
        <v>1339</v>
      </c>
      <c r="D530" t="s">
        <v>1344</v>
      </c>
      <c r="E530" t="s">
        <v>154</v>
      </c>
      <c r="F530" t="s">
        <v>88</v>
      </c>
      <c r="G530">
        <v>28.363610999999999</v>
      </c>
      <c r="H530">
        <v>-97.664169000000001</v>
      </c>
      <c r="K530" t="s">
        <v>89</v>
      </c>
      <c r="L530">
        <v>1</v>
      </c>
      <c r="M530" t="s">
        <v>90</v>
      </c>
      <c r="N530" t="s">
        <v>100</v>
      </c>
      <c r="O530" t="s">
        <v>92</v>
      </c>
      <c r="S530" t="s">
        <v>418</v>
      </c>
      <c r="T530" t="s">
        <v>139</v>
      </c>
      <c r="U530" t="s">
        <v>186</v>
      </c>
    </row>
    <row r="531" spans="1:21" x14ac:dyDescent="0.3">
      <c r="A531" t="s">
        <v>1345</v>
      </c>
      <c r="B531" s="6" t="str">
        <f>HYPERLINK("http://data.ntsb.gov/carol-repgen/api/Aviation/ReportMain/GenerateNewestReport/99720/pdf","AccidentReport")</f>
        <v>AccidentReport</v>
      </c>
      <c r="C531" t="s">
        <v>1339</v>
      </c>
      <c r="D531" t="s">
        <v>1346</v>
      </c>
      <c r="E531" t="s">
        <v>786</v>
      </c>
      <c r="F531" t="s">
        <v>88</v>
      </c>
      <c r="G531">
        <v>33.901111</v>
      </c>
      <c r="H531">
        <v>-87.304168000000004</v>
      </c>
      <c r="K531" t="s">
        <v>89</v>
      </c>
      <c r="L531">
        <v>1</v>
      </c>
      <c r="M531" t="s">
        <v>90</v>
      </c>
      <c r="N531" t="s">
        <v>91</v>
      </c>
      <c r="O531" t="s">
        <v>92</v>
      </c>
      <c r="S531" t="s">
        <v>108</v>
      </c>
      <c r="T531" t="s">
        <v>159</v>
      </c>
      <c r="U531" t="s">
        <v>119</v>
      </c>
    </row>
    <row r="532" spans="1:21" x14ac:dyDescent="0.3">
      <c r="A532" t="s">
        <v>1347</v>
      </c>
      <c r="B532" s="6" t="str">
        <f>HYPERLINK("http://data.ntsb.gov/carol-repgen/api/Aviation/ReportMain/GenerateNewestReport/99688/pdf","AccidentReport")</f>
        <v>AccidentReport</v>
      </c>
      <c r="C532" t="s">
        <v>1339</v>
      </c>
      <c r="D532" t="s">
        <v>1348</v>
      </c>
      <c r="E532" t="s">
        <v>122</v>
      </c>
      <c r="F532" t="s">
        <v>88</v>
      </c>
      <c r="G532">
        <v>42.542498999999999</v>
      </c>
      <c r="H532">
        <v>-113.77166699999999</v>
      </c>
      <c r="K532" t="s">
        <v>89</v>
      </c>
      <c r="L532">
        <v>1</v>
      </c>
      <c r="M532" t="s">
        <v>90</v>
      </c>
      <c r="N532" t="s">
        <v>91</v>
      </c>
      <c r="O532" t="s">
        <v>92</v>
      </c>
      <c r="S532" t="s">
        <v>108</v>
      </c>
      <c r="T532" t="s">
        <v>94</v>
      </c>
      <c r="U532" t="s">
        <v>95</v>
      </c>
    </row>
    <row r="533" spans="1:21" x14ac:dyDescent="0.3">
      <c r="A533" t="s">
        <v>1349</v>
      </c>
      <c r="B533" s="6" t="str">
        <f>HYPERLINK("http://data.ntsb.gov/carol-repgen/api/Aviation/ReportMain/GenerateNewestReport/99689/pdf","AccidentReport")</f>
        <v>AccidentReport</v>
      </c>
      <c r="C533" t="s">
        <v>1339</v>
      </c>
      <c r="D533" t="s">
        <v>1350</v>
      </c>
      <c r="E533" t="s">
        <v>290</v>
      </c>
      <c r="F533" t="s">
        <v>88</v>
      </c>
      <c r="G533">
        <v>39.005553999999997</v>
      </c>
      <c r="H533">
        <v>-119.15666899999999</v>
      </c>
      <c r="K533" t="s">
        <v>89</v>
      </c>
      <c r="L533">
        <v>1</v>
      </c>
      <c r="M533" t="s">
        <v>90</v>
      </c>
      <c r="N533" t="s">
        <v>91</v>
      </c>
      <c r="O533" t="s">
        <v>92</v>
      </c>
      <c r="S533" t="s">
        <v>108</v>
      </c>
      <c r="T533" t="s">
        <v>94</v>
      </c>
      <c r="U533" t="s">
        <v>222</v>
      </c>
    </row>
    <row r="534" spans="1:21" x14ac:dyDescent="0.3">
      <c r="A534" t="s">
        <v>1351</v>
      </c>
      <c r="B534" s="6" t="str">
        <f>HYPERLINK("http://data.ntsb.gov/carol-repgen/api/Aviation/ReportMain/GenerateNewestReport/99699/pdf","AccidentReport")</f>
        <v>AccidentReport</v>
      </c>
      <c r="C534" t="s">
        <v>1339</v>
      </c>
      <c r="D534" t="s">
        <v>1352</v>
      </c>
      <c r="E534" t="s">
        <v>251</v>
      </c>
      <c r="F534" t="s">
        <v>88</v>
      </c>
      <c r="G534">
        <v>45.666389000000002</v>
      </c>
      <c r="H534">
        <v>-116.618331</v>
      </c>
      <c r="K534" t="s">
        <v>89</v>
      </c>
      <c r="L534">
        <v>1</v>
      </c>
      <c r="M534" t="s">
        <v>90</v>
      </c>
      <c r="N534" t="s">
        <v>91</v>
      </c>
      <c r="O534" t="s">
        <v>92</v>
      </c>
      <c r="S534" t="s">
        <v>108</v>
      </c>
      <c r="T534" t="s">
        <v>94</v>
      </c>
      <c r="U534" t="s">
        <v>248</v>
      </c>
    </row>
    <row r="535" spans="1:21" x14ac:dyDescent="0.3">
      <c r="A535" t="s">
        <v>1353</v>
      </c>
      <c r="B535" s="6" t="str">
        <f>HYPERLINK("http://data.ntsb.gov/carol-repgen/api/Aviation/ReportMain/GenerateNewestReport/99739/pdf","AccidentReport")</f>
        <v>AccidentReport</v>
      </c>
      <c r="C535" t="s">
        <v>1339</v>
      </c>
      <c r="D535" t="s">
        <v>1354</v>
      </c>
      <c r="E535" t="s">
        <v>709</v>
      </c>
      <c r="F535" t="s">
        <v>88</v>
      </c>
      <c r="G535">
        <v>41.597338999999998</v>
      </c>
      <c r="H535">
        <v>-72.755081000000004</v>
      </c>
      <c r="K535" t="s">
        <v>89</v>
      </c>
      <c r="L535">
        <v>1</v>
      </c>
      <c r="M535" t="s">
        <v>90</v>
      </c>
      <c r="N535" t="s">
        <v>91</v>
      </c>
      <c r="O535" t="s">
        <v>92</v>
      </c>
      <c r="S535" t="s">
        <v>108</v>
      </c>
      <c r="T535" t="s">
        <v>109</v>
      </c>
      <c r="U535" t="s">
        <v>95</v>
      </c>
    </row>
    <row r="536" spans="1:21" x14ac:dyDescent="0.3">
      <c r="A536" t="s">
        <v>1355</v>
      </c>
      <c r="B536" s="6" t="str">
        <f>HYPERLINK("http://data.ntsb.gov/carol-repgen/api/Aviation/ReportMain/GenerateNewestReport/99686/pdf","AccidentReport")</f>
        <v>AccidentReport</v>
      </c>
      <c r="C536" t="s">
        <v>1339</v>
      </c>
      <c r="D536" t="s">
        <v>1356</v>
      </c>
      <c r="E536" t="s">
        <v>395</v>
      </c>
      <c r="F536" t="s">
        <v>88</v>
      </c>
      <c r="G536">
        <v>21.580553999999999</v>
      </c>
      <c r="H536">
        <v>-158.18833000000001</v>
      </c>
      <c r="I536">
        <v>11</v>
      </c>
      <c r="K536" t="s">
        <v>107</v>
      </c>
      <c r="L536">
        <v>1</v>
      </c>
      <c r="M536" t="s">
        <v>147</v>
      </c>
      <c r="N536" t="s">
        <v>91</v>
      </c>
      <c r="O536" t="s">
        <v>92</v>
      </c>
      <c r="S536" t="s">
        <v>1357</v>
      </c>
      <c r="T536" t="s">
        <v>229</v>
      </c>
      <c r="U536" t="s">
        <v>248</v>
      </c>
    </row>
    <row r="537" spans="1:21" x14ac:dyDescent="0.3">
      <c r="A537" t="s">
        <v>1358</v>
      </c>
      <c r="B537" s="6" t="str">
        <f>HYPERLINK("http://data.ntsb.gov/carol-repgen/api/Aviation/ReportMain/GenerateNewestReport/99768/pdf","AccidentReport")</f>
        <v>AccidentReport</v>
      </c>
      <c r="C537" t="s">
        <v>1359</v>
      </c>
      <c r="D537" t="s">
        <v>1360</v>
      </c>
      <c r="E537" t="s">
        <v>734</v>
      </c>
      <c r="F537" t="s">
        <v>88</v>
      </c>
      <c r="G537">
        <v>44.380977000000001</v>
      </c>
      <c r="H537">
        <v>-68.209036999999995</v>
      </c>
      <c r="K537" t="s">
        <v>89</v>
      </c>
      <c r="L537">
        <v>1</v>
      </c>
      <c r="M537" t="s">
        <v>90</v>
      </c>
      <c r="N537" t="s">
        <v>91</v>
      </c>
      <c r="O537" t="s">
        <v>92</v>
      </c>
      <c r="S537" t="s">
        <v>101</v>
      </c>
      <c r="T537" t="s">
        <v>159</v>
      </c>
      <c r="U537" t="s">
        <v>186</v>
      </c>
    </row>
    <row r="538" spans="1:21" x14ac:dyDescent="0.3">
      <c r="A538" t="s">
        <v>1361</v>
      </c>
      <c r="B538" s="6" t="str">
        <f>HYPERLINK("http://data.ntsb.gov/carol-repgen/api/Aviation/ReportMain/GenerateNewestReport/99787/pdf","AccidentReport")</f>
        <v>AccidentReport</v>
      </c>
      <c r="C538" t="s">
        <v>1359</v>
      </c>
      <c r="D538" t="s">
        <v>1362</v>
      </c>
      <c r="E538" t="s">
        <v>1363</v>
      </c>
      <c r="F538" t="s">
        <v>88</v>
      </c>
      <c r="G538">
        <v>41.913055</v>
      </c>
      <c r="H538">
        <v>-71.485275000000001</v>
      </c>
      <c r="K538" t="s">
        <v>89</v>
      </c>
      <c r="L538">
        <v>1</v>
      </c>
      <c r="M538" t="s">
        <v>90</v>
      </c>
      <c r="N538" t="s">
        <v>91</v>
      </c>
      <c r="O538" t="s">
        <v>92</v>
      </c>
      <c r="S538" t="s">
        <v>108</v>
      </c>
      <c r="T538" t="s">
        <v>159</v>
      </c>
      <c r="U538" t="s">
        <v>119</v>
      </c>
    </row>
    <row r="539" spans="1:21" x14ac:dyDescent="0.3">
      <c r="A539" t="s">
        <v>1364</v>
      </c>
      <c r="B539" s="6" t="str">
        <f>HYPERLINK("http://data.ntsb.gov/carol-repgen/api/Aviation/ReportMain/GenerateNewestReport/99697/pdf","AccidentReport")</f>
        <v>AccidentReport</v>
      </c>
      <c r="C539" t="s">
        <v>1359</v>
      </c>
      <c r="D539" t="s">
        <v>695</v>
      </c>
      <c r="E539" t="s">
        <v>402</v>
      </c>
      <c r="F539" t="s">
        <v>88</v>
      </c>
      <c r="G539">
        <v>34.722777999999998</v>
      </c>
      <c r="H539">
        <v>-80.854720999999998</v>
      </c>
      <c r="J539">
        <v>1</v>
      </c>
      <c r="K539" t="s">
        <v>99</v>
      </c>
      <c r="L539">
        <v>1</v>
      </c>
      <c r="M539" t="s">
        <v>90</v>
      </c>
      <c r="N539" t="s">
        <v>91</v>
      </c>
      <c r="O539" t="s">
        <v>92</v>
      </c>
      <c r="S539" t="s">
        <v>108</v>
      </c>
      <c r="T539" t="s">
        <v>411</v>
      </c>
      <c r="U539" t="s">
        <v>95</v>
      </c>
    </row>
    <row r="540" spans="1:21" x14ac:dyDescent="0.3">
      <c r="A540" t="s">
        <v>1365</v>
      </c>
      <c r="B540" s="6" t="str">
        <f>HYPERLINK("http://data.ntsb.gov/carol-repgen/api/Aviation/ReportMain/GenerateNewestReport/99698/pdf","AccidentReport")</f>
        <v>AccidentReport</v>
      </c>
      <c r="C540" t="s">
        <v>1359</v>
      </c>
      <c r="D540" t="s">
        <v>375</v>
      </c>
      <c r="E540" t="s">
        <v>165</v>
      </c>
      <c r="F540" t="s">
        <v>88</v>
      </c>
      <c r="G540">
        <v>36.041110000000003</v>
      </c>
      <c r="H540">
        <v>-95.983054999999993</v>
      </c>
      <c r="K540" t="s">
        <v>89</v>
      </c>
      <c r="L540">
        <v>1</v>
      </c>
      <c r="M540" t="s">
        <v>90</v>
      </c>
      <c r="N540" t="s">
        <v>91</v>
      </c>
      <c r="O540" t="s">
        <v>92</v>
      </c>
      <c r="S540" t="s">
        <v>108</v>
      </c>
      <c r="T540" t="s">
        <v>94</v>
      </c>
      <c r="U540" t="s">
        <v>95</v>
      </c>
    </row>
    <row r="541" spans="1:21" x14ac:dyDescent="0.3">
      <c r="A541" t="s">
        <v>1366</v>
      </c>
      <c r="B541" s="6" t="str">
        <f>HYPERLINK("http://data.ntsb.gov/carol-repgen/api/Aviation/ReportMain/GenerateNewestReport/99759/pdf","AccidentReport")</f>
        <v>AccidentReport</v>
      </c>
      <c r="C541" t="s">
        <v>1359</v>
      </c>
      <c r="D541" t="s">
        <v>1367</v>
      </c>
      <c r="E541" t="s">
        <v>98</v>
      </c>
      <c r="F541" t="s">
        <v>88</v>
      </c>
      <c r="G541">
        <v>30.358332999999998</v>
      </c>
      <c r="H541">
        <v>-85.795554999999993</v>
      </c>
      <c r="K541" t="s">
        <v>89</v>
      </c>
      <c r="L541">
        <v>1</v>
      </c>
      <c r="M541" t="s">
        <v>90</v>
      </c>
      <c r="N541" t="s">
        <v>91</v>
      </c>
      <c r="O541" t="s">
        <v>92</v>
      </c>
      <c r="S541" t="s">
        <v>108</v>
      </c>
      <c r="T541" t="s">
        <v>94</v>
      </c>
      <c r="U541" t="s">
        <v>95</v>
      </c>
    </row>
    <row r="542" spans="1:21" x14ac:dyDescent="0.3">
      <c r="A542" t="s">
        <v>1368</v>
      </c>
      <c r="B542" s="6" t="str">
        <f>HYPERLINK("http://data.ntsb.gov/carol-repgen/api/Aviation/ReportMain/GenerateNewestReport/99690/pdf","AccidentReport")</f>
        <v>AccidentReport</v>
      </c>
      <c r="C542" t="s">
        <v>1359</v>
      </c>
      <c r="D542" t="s">
        <v>1369</v>
      </c>
      <c r="E542" t="s">
        <v>251</v>
      </c>
      <c r="F542" t="s">
        <v>88</v>
      </c>
      <c r="G542">
        <v>43.864443999999999</v>
      </c>
      <c r="H542">
        <v>-121.455001</v>
      </c>
      <c r="I542">
        <v>1</v>
      </c>
      <c r="K542" t="s">
        <v>107</v>
      </c>
      <c r="L542">
        <v>1</v>
      </c>
      <c r="M542" t="s">
        <v>90</v>
      </c>
      <c r="N542" t="s">
        <v>91</v>
      </c>
      <c r="O542" t="s">
        <v>92</v>
      </c>
      <c r="S542" t="s">
        <v>108</v>
      </c>
      <c r="T542" t="s">
        <v>109</v>
      </c>
      <c r="U542" t="s">
        <v>852</v>
      </c>
    </row>
    <row r="543" spans="1:21" x14ac:dyDescent="0.3">
      <c r="A543" t="s">
        <v>1370</v>
      </c>
      <c r="B543" s="6" t="str">
        <f>HYPERLINK("http://data.ntsb.gov/carol-repgen/api/Aviation/ReportMain/GenerateNewestReport/99705/pdf","AccidentReport")</f>
        <v>AccidentReport</v>
      </c>
      <c r="C543" t="s">
        <v>1371</v>
      </c>
      <c r="D543" t="s">
        <v>1372</v>
      </c>
      <c r="E543" t="s">
        <v>260</v>
      </c>
      <c r="F543" t="s">
        <v>88</v>
      </c>
      <c r="G543">
        <v>37.815834000000002</v>
      </c>
      <c r="H543">
        <v>-85.964720999999997</v>
      </c>
      <c r="J543">
        <v>2</v>
      </c>
      <c r="K543" t="s">
        <v>99</v>
      </c>
      <c r="L543">
        <v>1</v>
      </c>
      <c r="M543" t="s">
        <v>90</v>
      </c>
      <c r="N543" t="s">
        <v>91</v>
      </c>
      <c r="O543" t="s">
        <v>92</v>
      </c>
      <c r="S543" t="s">
        <v>108</v>
      </c>
      <c r="T543" t="s">
        <v>411</v>
      </c>
      <c r="U543" t="s">
        <v>119</v>
      </c>
    </row>
    <row r="544" spans="1:21" x14ac:dyDescent="0.3">
      <c r="A544" t="s">
        <v>1373</v>
      </c>
      <c r="B544" s="6" t="str">
        <f>HYPERLINK("http://data.ntsb.gov/carol-repgen/api/Aviation/ReportMain/GenerateNewestReport/99843/pdf","AccidentReport")</f>
        <v>AccidentReport</v>
      </c>
      <c r="C544" t="s">
        <v>1371</v>
      </c>
      <c r="D544" t="s">
        <v>619</v>
      </c>
      <c r="E544" t="s">
        <v>98</v>
      </c>
      <c r="F544" t="s">
        <v>88</v>
      </c>
      <c r="G544">
        <v>26.735277</v>
      </c>
      <c r="H544">
        <v>-81.051108999999997</v>
      </c>
      <c r="K544" t="s">
        <v>89</v>
      </c>
      <c r="L544">
        <v>1</v>
      </c>
      <c r="M544" t="s">
        <v>90</v>
      </c>
      <c r="N544" t="s">
        <v>91</v>
      </c>
      <c r="O544" t="s">
        <v>92</v>
      </c>
      <c r="S544" t="s">
        <v>93</v>
      </c>
      <c r="T544" t="s">
        <v>94</v>
      </c>
      <c r="U544" t="s">
        <v>248</v>
      </c>
    </row>
    <row r="545" spans="1:21" x14ac:dyDescent="0.3">
      <c r="A545" t="s">
        <v>1374</v>
      </c>
      <c r="B545" s="6" t="str">
        <f>HYPERLINK("http://data.ntsb.gov/carol-repgen/api/Aviation/ReportMain/GenerateNewestReport/99704/pdf","AccidentReport")</f>
        <v>AccidentReport</v>
      </c>
      <c r="C545" t="s">
        <v>1375</v>
      </c>
      <c r="D545" t="s">
        <v>1376</v>
      </c>
      <c r="E545" t="s">
        <v>131</v>
      </c>
      <c r="F545" t="s">
        <v>88</v>
      </c>
      <c r="G545">
        <v>40.4375</v>
      </c>
      <c r="H545">
        <v>-104.633331</v>
      </c>
      <c r="K545" t="s">
        <v>89</v>
      </c>
      <c r="L545">
        <v>1</v>
      </c>
      <c r="M545" t="s">
        <v>90</v>
      </c>
      <c r="N545" t="s">
        <v>91</v>
      </c>
      <c r="O545" t="s">
        <v>92</v>
      </c>
      <c r="S545" t="s">
        <v>108</v>
      </c>
      <c r="T545" t="s">
        <v>109</v>
      </c>
      <c r="U545" t="s">
        <v>95</v>
      </c>
    </row>
    <row r="546" spans="1:21" x14ac:dyDescent="0.3">
      <c r="A546" t="s">
        <v>1377</v>
      </c>
      <c r="B546" s="6" t="str">
        <f>HYPERLINK("http://data.ntsb.gov/carol-repgen/api/Aviation/ReportMain/GenerateNewestReport/99742/pdf","AccidentReport")</f>
        <v>AccidentReport</v>
      </c>
      <c r="C546" t="s">
        <v>1375</v>
      </c>
      <c r="D546" t="s">
        <v>1378</v>
      </c>
      <c r="E546" t="s">
        <v>98</v>
      </c>
      <c r="F546" t="s">
        <v>88</v>
      </c>
      <c r="G546">
        <v>29.694444000000001</v>
      </c>
      <c r="H546">
        <v>-82.277220999999997</v>
      </c>
      <c r="K546" t="s">
        <v>89</v>
      </c>
      <c r="L546">
        <v>1</v>
      </c>
      <c r="M546" t="s">
        <v>90</v>
      </c>
      <c r="N546" t="s">
        <v>100</v>
      </c>
      <c r="O546" t="s">
        <v>92</v>
      </c>
      <c r="S546" t="s">
        <v>93</v>
      </c>
      <c r="T546" t="s">
        <v>102</v>
      </c>
      <c r="U546" t="s">
        <v>852</v>
      </c>
    </row>
    <row r="547" spans="1:21" x14ac:dyDescent="0.3">
      <c r="A547" t="s">
        <v>1379</v>
      </c>
      <c r="B547" s="6" t="str">
        <f>HYPERLINK("http://data.ntsb.gov/carol-repgen/api/Aviation/ReportMain/GenerateNewestReport/99707/pdf","AccidentReport")</f>
        <v>AccidentReport</v>
      </c>
      <c r="C547" t="s">
        <v>1375</v>
      </c>
      <c r="D547" t="s">
        <v>1380</v>
      </c>
      <c r="E547" t="s">
        <v>154</v>
      </c>
      <c r="F547" t="s">
        <v>88</v>
      </c>
      <c r="G547">
        <v>29.471111000000001</v>
      </c>
      <c r="H547">
        <v>-103.936386</v>
      </c>
      <c r="K547" t="s">
        <v>89</v>
      </c>
      <c r="L547">
        <v>1</v>
      </c>
      <c r="M547" t="s">
        <v>90</v>
      </c>
      <c r="N547" t="s">
        <v>91</v>
      </c>
      <c r="O547" t="s">
        <v>92</v>
      </c>
      <c r="S547" t="s">
        <v>108</v>
      </c>
      <c r="T547" t="s">
        <v>94</v>
      </c>
      <c r="U547" t="s">
        <v>95</v>
      </c>
    </row>
    <row r="548" spans="1:21" x14ac:dyDescent="0.3">
      <c r="A548" t="s">
        <v>1381</v>
      </c>
      <c r="B548" s="6" t="str">
        <f>HYPERLINK("http://data.ntsb.gov/carol-repgen/api/Aviation/ReportMain/GenerateNewestReport/99763/pdf","AccidentReport")</f>
        <v>AccidentReport</v>
      </c>
      <c r="C548" t="s">
        <v>1382</v>
      </c>
      <c r="D548" t="s">
        <v>592</v>
      </c>
      <c r="E548" t="s">
        <v>98</v>
      </c>
      <c r="F548" t="s">
        <v>88</v>
      </c>
      <c r="G548">
        <v>30.637499999999999</v>
      </c>
      <c r="H548">
        <v>-86.993613999999994</v>
      </c>
      <c r="K548" t="s">
        <v>89</v>
      </c>
      <c r="L548">
        <v>1</v>
      </c>
      <c r="M548" t="s">
        <v>90</v>
      </c>
      <c r="N548" t="s">
        <v>91</v>
      </c>
      <c r="O548" t="s">
        <v>92</v>
      </c>
      <c r="S548" t="s">
        <v>93</v>
      </c>
      <c r="T548" t="s">
        <v>247</v>
      </c>
      <c r="U548" t="s">
        <v>95</v>
      </c>
    </row>
    <row r="549" spans="1:21" x14ac:dyDescent="0.3">
      <c r="A549" t="s">
        <v>1383</v>
      </c>
      <c r="B549" s="6" t="str">
        <f>HYPERLINK("http://data.ntsb.gov/carol-repgen/api/Aviation/ReportMain/GenerateNewestReport/99752/pdf","AccidentReport")</f>
        <v>AccidentReport</v>
      </c>
      <c r="C549" t="s">
        <v>1384</v>
      </c>
      <c r="D549" t="s">
        <v>1385</v>
      </c>
      <c r="E549" t="s">
        <v>228</v>
      </c>
      <c r="F549" t="s">
        <v>88</v>
      </c>
      <c r="G549">
        <v>32.840556999999997</v>
      </c>
      <c r="H549">
        <v>-93.834723999999994</v>
      </c>
      <c r="K549" t="s">
        <v>89</v>
      </c>
      <c r="L549">
        <v>1</v>
      </c>
      <c r="M549" t="s">
        <v>90</v>
      </c>
      <c r="N549" t="s">
        <v>91</v>
      </c>
      <c r="O549" t="s">
        <v>92</v>
      </c>
      <c r="S549" t="s">
        <v>108</v>
      </c>
      <c r="T549" t="s">
        <v>220</v>
      </c>
      <c r="U549" t="s">
        <v>221</v>
      </c>
    </row>
    <row r="550" spans="1:21" x14ac:dyDescent="0.3">
      <c r="A550" t="s">
        <v>1386</v>
      </c>
      <c r="B550" s="6" t="str">
        <f>HYPERLINK("http://data.ntsb.gov/carol-repgen/api/Aviation/ReportMain/GenerateNewestReport/99709/pdf","AccidentReport")</f>
        <v>AccidentReport</v>
      </c>
      <c r="C550" t="s">
        <v>1384</v>
      </c>
      <c r="D550" t="s">
        <v>1387</v>
      </c>
      <c r="E550" t="s">
        <v>206</v>
      </c>
      <c r="F550" t="s">
        <v>88</v>
      </c>
      <c r="G550">
        <v>35.475276000000001</v>
      </c>
      <c r="H550">
        <v>-82.435835999999995</v>
      </c>
      <c r="I550">
        <v>2</v>
      </c>
      <c r="K550" t="s">
        <v>107</v>
      </c>
      <c r="L550">
        <v>1</v>
      </c>
      <c r="M550" t="s">
        <v>147</v>
      </c>
      <c r="N550" t="s">
        <v>91</v>
      </c>
      <c r="O550" t="s">
        <v>92</v>
      </c>
      <c r="S550" t="s">
        <v>93</v>
      </c>
      <c r="T550" t="s">
        <v>102</v>
      </c>
      <c r="U550" t="s">
        <v>150</v>
      </c>
    </row>
    <row r="551" spans="1:21" x14ac:dyDescent="0.3">
      <c r="A551" t="s">
        <v>1388</v>
      </c>
      <c r="B551" s="6" t="str">
        <f>HYPERLINK("http://data.ntsb.gov/carol-repgen/api/Aviation/ReportMain/GenerateNewestReport/99819/pdf","AccidentReport")</f>
        <v>AccidentReport</v>
      </c>
      <c r="C551" t="s">
        <v>1384</v>
      </c>
      <c r="D551" t="s">
        <v>456</v>
      </c>
      <c r="E551" t="s">
        <v>402</v>
      </c>
      <c r="F551" t="s">
        <v>88</v>
      </c>
      <c r="G551">
        <v>33.062221000000001</v>
      </c>
      <c r="H551">
        <v>-80.280829999999995</v>
      </c>
      <c r="K551" t="s">
        <v>155</v>
      </c>
      <c r="L551">
        <v>1</v>
      </c>
      <c r="M551" t="s">
        <v>90</v>
      </c>
      <c r="N551" t="s">
        <v>100</v>
      </c>
      <c r="O551" t="s">
        <v>92</v>
      </c>
      <c r="S551" t="s">
        <v>101</v>
      </c>
      <c r="T551" t="s">
        <v>102</v>
      </c>
      <c r="U551" t="s">
        <v>103</v>
      </c>
    </row>
    <row r="552" spans="1:21" x14ac:dyDescent="0.3">
      <c r="A552" t="s">
        <v>1389</v>
      </c>
      <c r="B552" s="6" t="str">
        <f>HYPERLINK("http://data.ntsb.gov/carol-repgen/api/Aviation/ReportMain/GenerateNewestReport/99868/pdf","AccidentReport")</f>
        <v>AccidentReport</v>
      </c>
      <c r="C552" t="s">
        <v>1384</v>
      </c>
      <c r="D552" t="s">
        <v>1390</v>
      </c>
      <c r="E552" t="s">
        <v>390</v>
      </c>
      <c r="F552" t="s">
        <v>88</v>
      </c>
      <c r="G552">
        <v>40.875</v>
      </c>
      <c r="H552">
        <v>-74.280555000000007</v>
      </c>
      <c r="K552" t="s">
        <v>89</v>
      </c>
      <c r="L552">
        <v>1</v>
      </c>
      <c r="M552" t="s">
        <v>90</v>
      </c>
      <c r="N552" t="s">
        <v>91</v>
      </c>
      <c r="O552" t="s">
        <v>92</v>
      </c>
      <c r="S552" t="s">
        <v>108</v>
      </c>
      <c r="T552" t="s">
        <v>102</v>
      </c>
      <c r="U552" t="s">
        <v>119</v>
      </c>
    </row>
    <row r="553" spans="1:21" x14ac:dyDescent="0.3">
      <c r="A553" t="s">
        <v>1391</v>
      </c>
      <c r="B553" s="6" t="str">
        <f>HYPERLINK("http://data.ntsb.gov/carol-repgen/api/Aviation/ReportMain/GenerateNewestReport/99881/pdf","AccidentReport")</f>
        <v>AccidentReport</v>
      </c>
      <c r="C553" t="s">
        <v>1384</v>
      </c>
      <c r="D553" t="s">
        <v>1392</v>
      </c>
      <c r="E553" t="s">
        <v>117</v>
      </c>
      <c r="F553" t="s">
        <v>88</v>
      </c>
      <c r="G553">
        <v>40.849997999999999</v>
      </c>
      <c r="H553">
        <v>-77.847503000000003</v>
      </c>
      <c r="K553" t="s">
        <v>89</v>
      </c>
      <c r="L553">
        <v>1</v>
      </c>
      <c r="M553" t="s">
        <v>90</v>
      </c>
      <c r="N553" t="s">
        <v>91</v>
      </c>
      <c r="O553" t="s">
        <v>92</v>
      </c>
      <c r="S553" t="s">
        <v>108</v>
      </c>
      <c r="T553" t="s">
        <v>94</v>
      </c>
      <c r="U553" t="s">
        <v>95</v>
      </c>
    </row>
    <row r="554" spans="1:21" x14ac:dyDescent="0.3">
      <c r="A554" t="s">
        <v>1393</v>
      </c>
      <c r="B554" s="6" t="str">
        <f>HYPERLINK("http://data.ntsb.gov/carol-repgen/api/Aviation/ReportMain/GenerateNewestReport/99762/pdf","AccidentReport")</f>
        <v>AccidentReport</v>
      </c>
      <c r="C554" t="s">
        <v>1384</v>
      </c>
      <c r="D554" t="s">
        <v>1394</v>
      </c>
      <c r="E554" t="s">
        <v>106</v>
      </c>
      <c r="F554" t="s">
        <v>88</v>
      </c>
      <c r="G554">
        <v>37.113334000000002</v>
      </c>
      <c r="H554">
        <v>-122.408058</v>
      </c>
      <c r="I554">
        <v>1</v>
      </c>
      <c r="K554" t="s">
        <v>107</v>
      </c>
      <c r="L554">
        <v>1</v>
      </c>
      <c r="M554" t="s">
        <v>147</v>
      </c>
      <c r="N554" t="s">
        <v>91</v>
      </c>
      <c r="O554" t="s">
        <v>92</v>
      </c>
      <c r="S554" t="s">
        <v>381</v>
      </c>
      <c r="T554" t="s">
        <v>381</v>
      </c>
      <c r="U554" t="s">
        <v>103</v>
      </c>
    </row>
    <row r="555" spans="1:21" x14ac:dyDescent="0.3">
      <c r="A555" t="s">
        <v>1395</v>
      </c>
      <c r="B555" s="6" t="str">
        <f>HYPERLINK("http://data.ntsb.gov/carol-repgen/api/Aviation/ReportMain/GenerateNewestReport/99726/pdf","AccidentReport")</f>
        <v>AccidentReport</v>
      </c>
      <c r="C555" t="s">
        <v>1396</v>
      </c>
      <c r="D555" t="s">
        <v>1397</v>
      </c>
      <c r="E555" t="s">
        <v>203</v>
      </c>
      <c r="F555" t="s">
        <v>88</v>
      </c>
      <c r="G555">
        <v>42.644165000000001</v>
      </c>
      <c r="H555">
        <v>-88.960555999999997</v>
      </c>
      <c r="J555">
        <v>1</v>
      </c>
      <c r="K555" t="s">
        <v>99</v>
      </c>
      <c r="L555">
        <v>1</v>
      </c>
      <c r="M555" t="s">
        <v>155</v>
      </c>
      <c r="N555" t="s">
        <v>91</v>
      </c>
      <c r="O555" t="s">
        <v>92</v>
      </c>
      <c r="S555" t="s">
        <v>173</v>
      </c>
      <c r="T555" t="s">
        <v>934</v>
      </c>
      <c r="U555" t="s">
        <v>186</v>
      </c>
    </row>
    <row r="556" spans="1:21" x14ac:dyDescent="0.3">
      <c r="A556" t="s">
        <v>1398</v>
      </c>
      <c r="B556" s="6" t="str">
        <f>HYPERLINK("http://data.ntsb.gov/carol-repgen/api/Aviation/ReportMain/GenerateNewestReport/99714/pdf","AccidentReport")</f>
        <v>AccidentReport</v>
      </c>
      <c r="C556" t="s">
        <v>1396</v>
      </c>
      <c r="D556" t="s">
        <v>1399</v>
      </c>
      <c r="E556" t="s">
        <v>206</v>
      </c>
      <c r="F556" t="s">
        <v>88</v>
      </c>
      <c r="G556">
        <v>34.955001000000003</v>
      </c>
      <c r="H556">
        <v>-78.917777999999998</v>
      </c>
      <c r="I556">
        <v>2</v>
      </c>
      <c r="J556">
        <v>1</v>
      </c>
      <c r="K556" t="s">
        <v>107</v>
      </c>
      <c r="L556">
        <v>1</v>
      </c>
      <c r="M556" t="s">
        <v>147</v>
      </c>
      <c r="N556" t="s">
        <v>91</v>
      </c>
      <c r="O556" t="s">
        <v>92</v>
      </c>
      <c r="S556" t="s">
        <v>108</v>
      </c>
      <c r="T556" t="s">
        <v>102</v>
      </c>
      <c r="U556" t="s">
        <v>119</v>
      </c>
    </row>
    <row r="557" spans="1:21" x14ac:dyDescent="0.3">
      <c r="A557" t="s">
        <v>1400</v>
      </c>
      <c r="B557" s="6" t="str">
        <f>HYPERLINK("http://data.ntsb.gov/carol-repgen/api/Aviation/ReportMain/GenerateNewestReport/99804/pdf","AccidentReport")</f>
        <v>AccidentReport</v>
      </c>
      <c r="C557" t="s">
        <v>1396</v>
      </c>
      <c r="D557" t="s">
        <v>1401</v>
      </c>
      <c r="E557" t="s">
        <v>356</v>
      </c>
      <c r="F557" t="s">
        <v>88</v>
      </c>
      <c r="G557">
        <v>33.154724000000002</v>
      </c>
      <c r="H557">
        <v>-84.372221999999994</v>
      </c>
      <c r="I557">
        <v>0</v>
      </c>
      <c r="J557">
        <v>1</v>
      </c>
      <c r="K557" t="s">
        <v>99</v>
      </c>
      <c r="L557">
        <v>1</v>
      </c>
      <c r="M557" t="s">
        <v>90</v>
      </c>
      <c r="N557" t="s">
        <v>91</v>
      </c>
      <c r="O557" t="s">
        <v>92</v>
      </c>
      <c r="S557" t="s">
        <v>108</v>
      </c>
      <c r="T557" t="s">
        <v>159</v>
      </c>
      <c r="U557" t="s">
        <v>248</v>
      </c>
    </row>
    <row r="558" spans="1:21" x14ac:dyDescent="0.3">
      <c r="A558" t="s">
        <v>1402</v>
      </c>
      <c r="B558" s="6" t="str">
        <f>HYPERLINK("http://data.ntsb.gov/carol-repgen/api/Aviation/ReportMain/GenerateNewestReport/99722/pdf","AccidentReport")</f>
        <v>AccidentReport</v>
      </c>
      <c r="C558" t="s">
        <v>1396</v>
      </c>
      <c r="D558" t="s">
        <v>688</v>
      </c>
      <c r="E558" t="s">
        <v>192</v>
      </c>
      <c r="F558" t="s">
        <v>88</v>
      </c>
      <c r="G558">
        <v>37.016666000000001</v>
      </c>
      <c r="H558">
        <v>-110.200553</v>
      </c>
      <c r="K558" t="s">
        <v>155</v>
      </c>
      <c r="L558">
        <v>1</v>
      </c>
      <c r="M558" t="s">
        <v>90</v>
      </c>
      <c r="N558" t="s">
        <v>91</v>
      </c>
      <c r="O558" t="s">
        <v>92</v>
      </c>
      <c r="S558" t="s">
        <v>108</v>
      </c>
      <c r="T558" t="s">
        <v>109</v>
      </c>
      <c r="U558" t="s">
        <v>95</v>
      </c>
    </row>
    <row r="559" spans="1:21" x14ac:dyDescent="0.3">
      <c r="A559" t="s">
        <v>1403</v>
      </c>
      <c r="B559" s="6" t="str">
        <f>HYPERLINK("http://data.ntsb.gov/carol-repgen/api/Aviation/ReportMain/GenerateNewestReport/99737/pdf","AccidentReport")</f>
        <v>AccidentReport</v>
      </c>
      <c r="C559" t="s">
        <v>1396</v>
      </c>
      <c r="D559" t="s">
        <v>1404</v>
      </c>
      <c r="E559" t="s">
        <v>399</v>
      </c>
      <c r="F559" t="s">
        <v>88</v>
      </c>
      <c r="G559">
        <v>38.202776999999998</v>
      </c>
      <c r="H559">
        <v>-94.737503000000004</v>
      </c>
      <c r="K559" t="s">
        <v>89</v>
      </c>
      <c r="L559">
        <v>1</v>
      </c>
      <c r="M559" t="s">
        <v>90</v>
      </c>
      <c r="N559" t="s">
        <v>91</v>
      </c>
      <c r="O559" t="s">
        <v>92</v>
      </c>
      <c r="S559" t="s">
        <v>108</v>
      </c>
      <c r="T559" t="s">
        <v>102</v>
      </c>
      <c r="U559" t="s">
        <v>150</v>
      </c>
    </row>
    <row r="560" spans="1:21" x14ac:dyDescent="0.3">
      <c r="A560" t="s">
        <v>1405</v>
      </c>
      <c r="B560" s="6" t="str">
        <f>HYPERLINK("http://data.ntsb.gov/carol-repgen/api/Aviation/ReportMain/GenerateNewestReport/99777/pdf","AccidentReport")</f>
        <v>AccidentReport</v>
      </c>
      <c r="C560" t="s">
        <v>1396</v>
      </c>
      <c r="D560" t="s">
        <v>469</v>
      </c>
      <c r="E560" t="s">
        <v>233</v>
      </c>
      <c r="F560" t="s">
        <v>88</v>
      </c>
      <c r="G560">
        <v>62.072223000000001</v>
      </c>
      <c r="H560">
        <v>-151.729446</v>
      </c>
      <c r="K560" t="s">
        <v>89</v>
      </c>
      <c r="L560">
        <v>1</v>
      </c>
      <c r="M560" t="s">
        <v>90</v>
      </c>
      <c r="N560" t="s">
        <v>91</v>
      </c>
      <c r="O560" t="s">
        <v>92</v>
      </c>
      <c r="S560" t="s">
        <v>108</v>
      </c>
      <c r="T560" t="s">
        <v>109</v>
      </c>
      <c r="U560" t="s">
        <v>248</v>
      </c>
    </row>
    <row r="561" spans="1:21" x14ac:dyDescent="0.3">
      <c r="A561" t="s">
        <v>1406</v>
      </c>
      <c r="B561" s="6" t="str">
        <f>HYPERLINK("http://data.ntsb.gov/carol-repgen/api/Aviation/ReportMain/GenerateNewestReport/99801/pdf","AccidentReport")</f>
        <v>AccidentReport</v>
      </c>
      <c r="C561" t="s">
        <v>1396</v>
      </c>
      <c r="D561" t="s">
        <v>1407</v>
      </c>
      <c r="E561" t="s">
        <v>345</v>
      </c>
      <c r="F561" t="s">
        <v>88</v>
      </c>
      <c r="G561">
        <v>44.348888000000002</v>
      </c>
      <c r="H561">
        <v>-105.337501</v>
      </c>
      <c r="K561" t="s">
        <v>89</v>
      </c>
      <c r="L561">
        <v>1</v>
      </c>
      <c r="M561" t="s">
        <v>90</v>
      </c>
      <c r="N561" t="s">
        <v>91</v>
      </c>
      <c r="O561" t="s">
        <v>92</v>
      </c>
      <c r="S561" t="s">
        <v>108</v>
      </c>
      <c r="T561" t="s">
        <v>109</v>
      </c>
      <c r="U561" t="s">
        <v>95</v>
      </c>
    </row>
    <row r="562" spans="1:21" x14ac:dyDescent="0.3">
      <c r="A562" t="s">
        <v>1408</v>
      </c>
      <c r="B562" s="6" t="str">
        <f>HYPERLINK("http://data.ntsb.gov/carol-repgen/api/Aviation/ReportMain/GenerateNewestReport/99778/pdf","AccidentReport")</f>
        <v>AccidentReport</v>
      </c>
      <c r="C562" t="s">
        <v>1396</v>
      </c>
      <c r="D562" t="s">
        <v>1409</v>
      </c>
      <c r="F562" t="s">
        <v>1410</v>
      </c>
      <c r="I562">
        <v>2</v>
      </c>
      <c r="K562" t="s">
        <v>107</v>
      </c>
      <c r="L562">
        <v>1</v>
      </c>
      <c r="M562" t="s">
        <v>147</v>
      </c>
      <c r="N562" t="s">
        <v>91</v>
      </c>
      <c r="O562" t="s">
        <v>240</v>
      </c>
      <c r="T562" t="s">
        <v>102</v>
      </c>
      <c r="U562" t="s">
        <v>248</v>
      </c>
    </row>
    <row r="563" spans="1:21" x14ac:dyDescent="0.3">
      <c r="A563" t="s">
        <v>1411</v>
      </c>
      <c r="B563" s="6" t="str">
        <f>HYPERLINK("http://data.ntsb.gov/carol-repgen/api/Aviation/ReportMain/GenerateNewestReport/99729/pdf","AccidentReport")</f>
        <v>AccidentReport</v>
      </c>
      <c r="C563" t="s">
        <v>1396</v>
      </c>
      <c r="D563" t="s">
        <v>1390</v>
      </c>
      <c r="E563" t="s">
        <v>122</v>
      </c>
      <c r="F563" t="s">
        <v>88</v>
      </c>
      <c r="G563">
        <v>43.659511000000002</v>
      </c>
      <c r="H563">
        <v>-116.629035</v>
      </c>
      <c r="K563" t="s">
        <v>155</v>
      </c>
      <c r="L563">
        <v>1</v>
      </c>
      <c r="M563" t="s">
        <v>90</v>
      </c>
      <c r="N563" t="s">
        <v>91</v>
      </c>
      <c r="O563" t="s">
        <v>92</v>
      </c>
      <c r="S563" t="s">
        <v>108</v>
      </c>
      <c r="T563" t="s">
        <v>159</v>
      </c>
      <c r="U563" t="s">
        <v>119</v>
      </c>
    </row>
    <row r="564" spans="1:21" x14ac:dyDescent="0.3">
      <c r="A564" t="s">
        <v>1412</v>
      </c>
      <c r="B564" s="6" t="str">
        <f>HYPERLINK("http://data.ntsb.gov/carol-repgen/api/Aviation/ReportMain/GenerateNewestReport/99728/pdf","AccidentReport")</f>
        <v>AccidentReport</v>
      </c>
      <c r="C564" t="s">
        <v>1413</v>
      </c>
      <c r="D564" t="s">
        <v>1414</v>
      </c>
      <c r="E564" t="s">
        <v>233</v>
      </c>
      <c r="F564" t="s">
        <v>88</v>
      </c>
      <c r="G564">
        <v>60.539164999999997</v>
      </c>
      <c r="H564">
        <v>-149.54444799999999</v>
      </c>
      <c r="I564">
        <v>3</v>
      </c>
      <c r="J564">
        <v>1</v>
      </c>
      <c r="K564" t="s">
        <v>107</v>
      </c>
      <c r="L564">
        <v>1</v>
      </c>
      <c r="M564" t="s">
        <v>90</v>
      </c>
      <c r="N564" t="s">
        <v>91</v>
      </c>
      <c r="O564" t="s">
        <v>92</v>
      </c>
      <c r="S564" t="s">
        <v>108</v>
      </c>
      <c r="T564" t="s">
        <v>229</v>
      </c>
      <c r="U564" t="s">
        <v>103</v>
      </c>
    </row>
    <row r="565" spans="1:21" x14ac:dyDescent="0.3">
      <c r="A565" t="s">
        <v>1415</v>
      </c>
      <c r="B565" s="6" t="str">
        <f>HYPERLINK("http://data.ntsb.gov/carol-repgen/api/Aviation/ReportMain/GenerateNewestReport/99727/pdf","AccidentReport")</f>
        <v>AccidentReport</v>
      </c>
      <c r="C565" t="s">
        <v>1413</v>
      </c>
      <c r="D565" t="s">
        <v>1416</v>
      </c>
      <c r="E565" t="s">
        <v>399</v>
      </c>
      <c r="F565" t="s">
        <v>88</v>
      </c>
      <c r="G565">
        <v>39.887779000000002</v>
      </c>
      <c r="H565">
        <v>-95.517218999999997</v>
      </c>
      <c r="I565">
        <v>1</v>
      </c>
      <c r="K565" t="s">
        <v>107</v>
      </c>
      <c r="L565">
        <v>1</v>
      </c>
      <c r="M565" t="s">
        <v>147</v>
      </c>
      <c r="N565" t="s">
        <v>91</v>
      </c>
      <c r="O565" t="s">
        <v>92</v>
      </c>
      <c r="S565" t="s">
        <v>108</v>
      </c>
      <c r="T565" t="s">
        <v>102</v>
      </c>
      <c r="U565" t="s">
        <v>119</v>
      </c>
    </row>
    <row r="566" spans="1:21" x14ac:dyDescent="0.3">
      <c r="A566" t="s">
        <v>1417</v>
      </c>
      <c r="B566" s="6" t="str">
        <f>HYPERLINK("http://data.ntsb.gov/carol-repgen/api/Aviation/ReportMain/GenerateNewestReport/99718/pdf","AccidentReport")</f>
        <v>AccidentReport</v>
      </c>
      <c r="C566" t="s">
        <v>1413</v>
      </c>
      <c r="D566" t="s">
        <v>754</v>
      </c>
      <c r="E566" t="s">
        <v>485</v>
      </c>
      <c r="F566" t="s">
        <v>88</v>
      </c>
      <c r="G566">
        <v>41.196109</v>
      </c>
      <c r="H566">
        <v>-96.112219999999994</v>
      </c>
      <c r="K566" t="s">
        <v>89</v>
      </c>
      <c r="L566">
        <v>1</v>
      </c>
      <c r="M566" t="s">
        <v>90</v>
      </c>
      <c r="N566" t="s">
        <v>91</v>
      </c>
      <c r="O566" t="s">
        <v>92</v>
      </c>
      <c r="S566" t="s">
        <v>108</v>
      </c>
      <c r="T566" t="s">
        <v>118</v>
      </c>
      <c r="U566" t="s">
        <v>119</v>
      </c>
    </row>
    <row r="567" spans="1:21" x14ac:dyDescent="0.3">
      <c r="A567" t="s">
        <v>1418</v>
      </c>
      <c r="B567" s="6" t="str">
        <f>HYPERLINK("http://data.ntsb.gov/carol-repgen/api/Aviation/ReportMain/GenerateNewestReport/99724/pdf","AccidentReport")</f>
        <v>AccidentReport</v>
      </c>
      <c r="C567" t="s">
        <v>1413</v>
      </c>
      <c r="D567" t="s">
        <v>1419</v>
      </c>
      <c r="E567" t="s">
        <v>154</v>
      </c>
      <c r="F567" t="s">
        <v>88</v>
      </c>
      <c r="G567">
        <v>29.232778</v>
      </c>
      <c r="H567">
        <v>-95.251945000000006</v>
      </c>
      <c r="K567" t="s">
        <v>89</v>
      </c>
      <c r="L567">
        <v>1</v>
      </c>
      <c r="M567" t="s">
        <v>90</v>
      </c>
      <c r="N567" t="s">
        <v>100</v>
      </c>
      <c r="O567" t="s">
        <v>169</v>
      </c>
      <c r="S567" t="s">
        <v>515</v>
      </c>
      <c r="T567" t="s">
        <v>139</v>
      </c>
      <c r="U567" t="s">
        <v>103</v>
      </c>
    </row>
    <row r="568" spans="1:21" x14ac:dyDescent="0.3">
      <c r="A568" t="s">
        <v>1420</v>
      </c>
      <c r="B568" s="6" t="str">
        <f>HYPERLINK("http://data.ntsb.gov/carol-repgen/api/Aviation/ReportMain/GenerateNewestReport/99800/pdf","AccidentReport")</f>
        <v>AccidentReport</v>
      </c>
      <c r="C568" t="s">
        <v>1413</v>
      </c>
      <c r="D568" t="s">
        <v>1421</v>
      </c>
      <c r="E568" t="s">
        <v>98</v>
      </c>
      <c r="F568" t="s">
        <v>88</v>
      </c>
      <c r="G568">
        <v>28</v>
      </c>
      <c r="H568">
        <v>-81</v>
      </c>
      <c r="K568" t="s">
        <v>155</v>
      </c>
      <c r="L568">
        <v>1</v>
      </c>
      <c r="M568" t="s">
        <v>90</v>
      </c>
      <c r="N568" t="s">
        <v>91</v>
      </c>
      <c r="O568" t="s">
        <v>92</v>
      </c>
      <c r="S568" t="s">
        <v>93</v>
      </c>
      <c r="T568" t="s">
        <v>118</v>
      </c>
      <c r="U568" t="s">
        <v>150</v>
      </c>
    </row>
    <row r="569" spans="1:21" x14ac:dyDescent="0.3">
      <c r="A569" t="s">
        <v>1422</v>
      </c>
      <c r="B569" s="6" t="str">
        <f>HYPERLINK("http://data.ntsb.gov/carol-repgen/api/Aviation/ReportMain/GenerateNewestReport/99725/pdf","AccidentReport")</f>
        <v>AccidentReport</v>
      </c>
      <c r="C569" t="s">
        <v>1413</v>
      </c>
      <c r="D569" t="s">
        <v>1264</v>
      </c>
      <c r="E569" t="s">
        <v>125</v>
      </c>
      <c r="F569" t="s">
        <v>88</v>
      </c>
      <c r="G569">
        <v>33.688330999999998</v>
      </c>
      <c r="H569">
        <v>-112.08249600000001</v>
      </c>
      <c r="K569" t="s">
        <v>89</v>
      </c>
      <c r="L569">
        <v>1</v>
      </c>
      <c r="M569" t="s">
        <v>90</v>
      </c>
      <c r="N569" t="s">
        <v>91</v>
      </c>
      <c r="O569" t="s">
        <v>92</v>
      </c>
      <c r="S569" t="s">
        <v>93</v>
      </c>
      <c r="T569" t="s">
        <v>102</v>
      </c>
      <c r="U569" t="s">
        <v>95</v>
      </c>
    </row>
    <row r="570" spans="1:21" x14ac:dyDescent="0.3">
      <c r="A570" t="s">
        <v>1423</v>
      </c>
      <c r="B570" s="6" t="str">
        <f>HYPERLINK("http://data.ntsb.gov/carol-repgen/api/Aviation/ReportMain/GenerateNewestReport/99738/pdf","AccidentReport")</f>
        <v>AccidentReport</v>
      </c>
      <c r="C570" t="s">
        <v>1413</v>
      </c>
      <c r="D570" t="s">
        <v>864</v>
      </c>
      <c r="E570" t="s">
        <v>233</v>
      </c>
      <c r="F570" t="s">
        <v>88</v>
      </c>
      <c r="G570">
        <v>61.481945000000003</v>
      </c>
      <c r="H570">
        <v>-149.74389600000001</v>
      </c>
      <c r="K570" t="s">
        <v>89</v>
      </c>
      <c r="L570">
        <v>1</v>
      </c>
      <c r="M570" t="s">
        <v>90</v>
      </c>
      <c r="N570" t="s">
        <v>91</v>
      </c>
      <c r="O570" t="s">
        <v>92</v>
      </c>
      <c r="S570" t="s">
        <v>108</v>
      </c>
      <c r="T570" t="s">
        <v>94</v>
      </c>
      <c r="U570" t="s">
        <v>248</v>
      </c>
    </row>
    <row r="571" spans="1:21" x14ac:dyDescent="0.3">
      <c r="A571" t="s">
        <v>1424</v>
      </c>
      <c r="B571" s="6" t="str">
        <f>HYPERLINK("http://data.ntsb.gov/carol-repgen/api/Aviation/ReportMain/GenerateNewestReport/99884/pdf","AccidentReport")</f>
        <v>AccidentReport</v>
      </c>
      <c r="C571" t="s">
        <v>1413</v>
      </c>
      <c r="D571" t="s">
        <v>844</v>
      </c>
      <c r="E571" t="s">
        <v>106</v>
      </c>
      <c r="F571" t="s">
        <v>88</v>
      </c>
      <c r="G571">
        <v>38.908611000000001</v>
      </c>
      <c r="H571">
        <v>-121.351112</v>
      </c>
      <c r="K571" t="s">
        <v>89</v>
      </c>
      <c r="L571">
        <v>1</v>
      </c>
      <c r="M571" t="s">
        <v>90</v>
      </c>
      <c r="N571" t="s">
        <v>91</v>
      </c>
      <c r="O571" t="s">
        <v>92</v>
      </c>
      <c r="S571" t="s">
        <v>108</v>
      </c>
      <c r="T571" t="s">
        <v>94</v>
      </c>
      <c r="U571" t="s">
        <v>95</v>
      </c>
    </row>
    <row r="572" spans="1:21" x14ac:dyDescent="0.3">
      <c r="A572" t="s">
        <v>1425</v>
      </c>
      <c r="B572" s="6" t="str">
        <f>HYPERLINK("http://data.ntsb.gov/carol-repgen/api/Aviation/ReportMain/GenerateNewestReport/99746/pdf","AccidentReport")</f>
        <v>AccidentReport</v>
      </c>
      <c r="C572" t="s">
        <v>1426</v>
      </c>
      <c r="D572" t="s">
        <v>1427</v>
      </c>
      <c r="E572" t="s">
        <v>154</v>
      </c>
      <c r="F572" t="s">
        <v>88</v>
      </c>
      <c r="G572">
        <v>29.432500000000001</v>
      </c>
      <c r="H572">
        <v>-96.440276999999995</v>
      </c>
      <c r="J572">
        <v>1</v>
      </c>
      <c r="K572" t="s">
        <v>99</v>
      </c>
      <c r="L572">
        <v>1</v>
      </c>
      <c r="M572" t="s">
        <v>90</v>
      </c>
      <c r="N572" t="s">
        <v>100</v>
      </c>
      <c r="O572" t="s">
        <v>92</v>
      </c>
      <c r="S572" t="s">
        <v>170</v>
      </c>
      <c r="T572" t="s">
        <v>113</v>
      </c>
      <c r="U572" t="s">
        <v>103</v>
      </c>
    </row>
    <row r="573" spans="1:21" x14ac:dyDescent="0.3">
      <c r="A573" t="s">
        <v>1428</v>
      </c>
      <c r="B573" s="6" t="str">
        <f>HYPERLINK("http://data.ntsb.gov/carol-repgen/api/Aviation/ReportMain/GenerateNewestReport/99754/pdf","AccidentReport")</f>
        <v>AccidentReport</v>
      </c>
      <c r="C573" t="s">
        <v>1426</v>
      </c>
      <c r="D573" t="s">
        <v>1429</v>
      </c>
      <c r="E573" t="s">
        <v>457</v>
      </c>
      <c r="F573" t="s">
        <v>88</v>
      </c>
      <c r="G573">
        <v>37.153056999999997</v>
      </c>
      <c r="H573">
        <v>-94.498885999999999</v>
      </c>
      <c r="K573" t="s">
        <v>89</v>
      </c>
      <c r="L573">
        <v>1</v>
      </c>
      <c r="M573" t="s">
        <v>90</v>
      </c>
      <c r="N573" t="s">
        <v>91</v>
      </c>
      <c r="O573" t="s">
        <v>92</v>
      </c>
      <c r="S573" t="s">
        <v>108</v>
      </c>
      <c r="T573" t="s">
        <v>94</v>
      </c>
      <c r="U573" t="s">
        <v>95</v>
      </c>
    </row>
    <row r="574" spans="1:21" x14ac:dyDescent="0.3">
      <c r="A574" t="s">
        <v>1430</v>
      </c>
      <c r="B574" s="6" t="str">
        <f>HYPERLINK("http://data.ntsb.gov/carol-repgen/api/Aviation/ReportMain/GenerateNewestReport/99756/pdf","AccidentReport")</f>
        <v>AccidentReport</v>
      </c>
      <c r="C574" t="s">
        <v>1426</v>
      </c>
      <c r="D574" t="s">
        <v>1179</v>
      </c>
      <c r="E574" t="s">
        <v>260</v>
      </c>
      <c r="F574" t="s">
        <v>88</v>
      </c>
      <c r="G574">
        <v>36.939998000000003</v>
      </c>
      <c r="H574">
        <v>-88.569441999999995</v>
      </c>
      <c r="J574">
        <v>1</v>
      </c>
      <c r="K574" t="s">
        <v>99</v>
      </c>
      <c r="L574">
        <v>1</v>
      </c>
      <c r="M574" t="s">
        <v>90</v>
      </c>
      <c r="N574" t="s">
        <v>91</v>
      </c>
      <c r="O574" t="s">
        <v>92</v>
      </c>
      <c r="S574" t="s">
        <v>108</v>
      </c>
      <c r="T574" t="s">
        <v>159</v>
      </c>
      <c r="U574" t="s">
        <v>103</v>
      </c>
    </row>
    <row r="575" spans="1:21" x14ac:dyDescent="0.3">
      <c r="A575" t="s">
        <v>1431</v>
      </c>
      <c r="B575" s="6" t="str">
        <f>HYPERLINK("http://data.ntsb.gov/carol-repgen/api/Aviation/ReportMain/GenerateNewestReport/99760/pdf","AccidentReport")</f>
        <v>AccidentReport</v>
      </c>
      <c r="C575" t="s">
        <v>1426</v>
      </c>
      <c r="D575" t="s">
        <v>1432</v>
      </c>
      <c r="E575" t="s">
        <v>117</v>
      </c>
      <c r="F575" t="s">
        <v>88</v>
      </c>
      <c r="G575">
        <v>40.857776000000001</v>
      </c>
      <c r="H575">
        <v>-80.194998999999996</v>
      </c>
      <c r="K575" t="s">
        <v>89</v>
      </c>
      <c r="L575">
        <v>1</v>
      </c>
      <c r="M575" t="s">
        <v>90</v>
      </c>
      <c r="N575" t="s">
        <v>91</v>
      </c>
      <c r="O575" t="s">
        <v>92</v>
      </c>
      <c r="S575" t="s">
        <v>108</v>
      </c>
      <c r="T575" t="s">
        <v>159</v>
      </c>
      <c r="U575" t="s">
        <v>150</v>
      </c>
    </row>
    <row r="576" spans="1:21" x14ac:dyDescent="0.3">
      <c r="A576" t="s">
        <v>1433</v>
      </c>
      <c r="B576" s="6" t="str">
        <f>HYPERLINK("http://data.ntsb.gov/carol-repgen/api/Aviation/ReportMain/GenerateNewestReport/99735/pdf","AccidentReport")</f>
        <v>AccidentReport</v>
      </c>
      <c r="C576" t="s">
        <v>1426</v>
      </c>
      <c r="D576" t="s">
        <v>1434</v>
      </c>
      <c r="E576" t="s">
        <v>1289</v>
      </c>
      <c r="F576" t="s">
        <v>88</v>
      </c>
      <c r="G576">
        <v>39.226942999999999</v>
      </c>
      <c r="H576">
        <v>-79.720832000000001</v>
      </c>
      <c r="I576">
        <v>0</v>
      </c>
      <c r="J576">
        <v>1</v>
      </c>
      <c r="K576" t="s">
        <v>99</v>
      </c>
      <c r="L576">
        <v>1</v>
      </c>
      <c r="M576" t="s">
        <v>90</v>
      </c>
      <c r="N576" t="s">
        <v>100</v>
      </c>
      <c r="O576" t="s">
        <v>92</v>
      </c>
      <c r="S576" t="s">
        <v>108</v>
      </c>
      <c r="T576" t="s">
        <v>113</v>
      </c>
      <c r="U576" t="s">
        <v>103</v>
      </c>
    </row>
    <row r="577" spans="1:21" x14ac:dyDescent="0.3">
      <c r="A577" t="s">
        <v>1435</v>
      </c>
      <c r="B577" s="6" t="str">
        <f>HYPERLINK("http://data.ntsb.gov/carol-repgen/api/Aviation/ReportMain/GenerateNewestReport/99784/pdf","AccidentReport")</f>
        <v>AccidentReport</v>
      </c>
      <c r="C577" t="s">
        <v>1426</v>
      </c>
      <c r="D577" t="s">
        <v>1436</v>
      </c>
      <c r="E577" t="s">
        <v>98</v>
      </c>
      <c r="F577" t="s">
        <v>88</v>
      </c>
      <c r="G577">
        <v>28.137499999999999</v>
      </c>
      <c r="H577">
        <v>-82.146666999999994</v>
      </c>
      <c r="I577">
        <v>0</v>
      </c>
      <c r="J577">
        <v>0</v>
      </c>
      <c r="K577" t="s">
        <v>89</v>
      </c>
      <c r="L577">
        <v>1</v>
      </c>
      <c r="M577" t="s">
        <v>90</v>
      </c>
      <c r="N577" t="s">
        <v>91</v>
      </c>
      <c r="O577" t="s">
        <v>92</v>
      </c>
      <c r="S577" t="s">
        <v>1357</v>
      </c>
      <c r="T577" t="s">
        <v>109</v>
      </c>
      <c r="U577" t="s">
        <v>95</v>
      </c>
    </row>
    <row r="578" spans="1:21" x14ac:dyDescent="0.3">
      <c r="A578" t="s">
        <v>1437</v>
      </c>
      <c r="B578" s="6" t="str">
        <f>HYPERLINK("http://data.ntsb.gov/carol-repgen/api/Aviation/ReportMain/GenerateNewestReport/99796/pdf","AccidentReport")</f>
        <v>AccidentReport</v>
      </c>
      <c r="C578" t="s">
        <v>1426</v>
      </c>
      <c r="D578" t="s">
        <v>1438</v>
      </c>
      <c r="E578" t="s">
        <v>402</v>
      </c>
      <c r="F578" t="s">
        <v>88</v>
      </c>
      <c r="G578">
        <v>34.812778000000002</v>
      </c>
      <c r="H578">
        <v>-82.699721999999994</v>
      </c>
      <c r="K578" t="s">
        <v>89</v>
      </c>
      <c r="L578">
        <v>1</v>
      </c>
      <c r="M578" t="s">
        <v>90</v>
      </c>
      <c r="N578" t="s">
        <v>91</v>
      </c>
      <c r="O578" t="s">
        <v>92</v>
      </c>
      <c r="S578" t="s">
        <v>108</v>
      </c>
      <c r="T578" t="s">
        <v>94</v>
      </c>
      <c r="U578" t="s">
        <v>95</v>
      </c>
    </row>
    <row r="579" spans="1:21" x14ac:dyDescent="0.3">
      <c r="A579" t="s">
        <v>1439</v>
      </c>
      <c r="B579" s="6" t="str">
        <f>HYPERLINK("http://data.ntsb.gov/carol-repgen/api/Aviation/ReportMain/GenerateNewestReport/99749/pdf","AccidentReport")</f>
        <v>AccidentReport</v>
      </c>
      <c r="C579" t="s">
        <v>1426</v>
      </c>
      <c r="D579" t="s">
        <v>1440</v>
      </c>
      <c r="F579" t="s">
        <v>1040</v>
      </c>
      <c r="I579">
        <v>4</v>
      </c>
      <c r="K579" t="s">
        <v>107</v>
      </c>
      <c r="L579">
        <v>1</v>
      </c>
      <c r="M579" t="s">
        <v>147</v>
      </c>
      <c r="N579" t="s">
        <v>91</v>
      </c>
      <c r="O579" t="s">
        <v>240</v>
      </c>
      <c r="S579" t="s">
        <v>381</v>
      </c>
      <c r="T579" t="s">
        <v>332</v>
      </c>
      <c r="U579" t="s">
        <v>186</v>
      </c>
    </row>
    <row r="580" spans="1:21" x14ac:dyDescent="0.3">
      <c r="A580" t="s">
        <v>1441</v>
      </c>
      <c r="B580" s="6" t="str">
        <f>HYPERLINK("http://data.ntsb.gov/carol-repgen/api/Aviation/ReportMain/GenerateNewestReport/99744/pdf","AccidentReport")</f>
        <v>AccidentReport</v>
      </c>
      <c r="C580" t="s">
        <v>1426</v>
      </c>
      <c r="D580" t="s">
        <v>1442</v>
      </c>
      <c r="E580" t="s">
        <v>651</v>
      </c>
      <c r="F580" t="s">
        <v>88</v>
      </c>
      <c r="G580">
        <v>42.563609999999997</v>
      </c>
      <c r="H580">
        <v>-75.524169000000001</v>
      </c>
      <c r="K580" t="s">
        <v>89</v>
      </c>
      <c r="L580">
        <v>1</v>
      </c>
      <c r="M580" t="s">
        <v>90</v>
      </c>
      <c r="N580" t="s">
        <v>91</v>
      </c>
      <c r="O580" t="s">
        <v>92</v>
      </c>
      <c r="S580" t="s">
        <v>418</v>
      </c>
      <c r="T580" t="s">
        <v>109</v>
      </c>
      <c r="U580" t="s">
        <v>95</v>
      </c>
    </row>
    <row r="581" spans="1:21" x14ac:dyDescent="0.3">
      <c r="A581" t="s">
        <v>1443</v>
      </c>
      <c r="B581" s="6" t="str">
        <f>HYPERLINK("http://data.ntsb.gov/carol-repgen/api/Aviation/ReportMain/GenerateNewestReport/99751/pdf","AccidentReport")</f>
        <v>AccidentReport</v>
      </c>
      <c r="C581" t="s">
        <v>1426</v>
      </c>
      <c r="D581" t="s">
        <v>1444</v>
      </c>
      <c r="E581" t="s">
        <v>356</v>
      </c>
      <c r="F581" t="s">
        <v>88</v>
      </c>
      <c r="G581">
        <v>31.183332</v>
      </c>
      <c r="H581">
        <v>-81.261107999999993</v>
      </c>
      <c r="K581" t="s">
        <v>89</v>
      </c>
      <c r="L581">
        <v>1</v>
      </c>
      <c r="M581" t="s">
        <v>90</v>
      </c>
      <c r="N581" t="s">
        <v>91</v>
      </c>
      <c r="O581" t="s">
        <v>92</v>
      </c>
      <c r="S581" t="s">
        <v>108</v>
      </c>
      <c r="T581" t="s">
        <v>118</v>
      </c>
      <c r="U581" t="s">
        <v>103</v>
      </c>
    </row>
    <row r="582" spans="1:21" x14ac:dyDescent="0.3">
      <c r="A582" t="s">
        <v>1445</v>
      </c>
      <c r="B582" s="6" t="str">
        <f>HYPERLINK("http://data.ntsb.gov/carol-repgen/api/Aviation/ReportMain/GenerateNewestReport/99815/pdf","AccidentReport")</f>
        <v>AccidentReport</v>
      </c>
      <c r="C582" t="s">
        <v>1426</v>
      </c>
      <c r="D582" t="s">
        <v>1446</v>
      </c>
      <c r="E582" t="s">
        <v>390</v>
      </c>
      <c r="F582" t="s">
        <v>88</v>
      </c>
      <c r="G582">
        <v>40.971111000000001</v>
      </c>
      <c r="H582">
        <v>-74.997496999999996</v>
      </c>
      <c r="J582">
        <v>1</v>
      </c>
      <c r="K582" t="s">
        <v>99</v>
      </c>
      <c r="L582">
        <v>1</v>
      </c>
      <c r="M582" t="s">
        <v>89</v>
      </c>
      <c r="N582" t="s">
        <v>893</v>
      </c>
      <c r="O582" t="s">
        <v>92</v>
      </c>
      <c r="S582" t="s">
        <v>93</v>
      </c>
      <c r="T582" t="s">
        <v>109</v>
      </c>
      <c r="U582" t="s">
        <v>95</v>
      </c>
    </row>
    <row r="583" spans="1:21" x14ac:dyDescent="0.3">
      <c r="A583" t="s">
        <v>1447</v>
      </c>
      <c r="B583" s="6" t="str">
        <f>HYPERLINK("http://data.ntsb.gov/carol-repgen/api/Aviation/ReportMain/GenerateNewestReport/99816/pdf","AccidentReport")</f>
        <v>AccidentReport</v>
      </c>
      <c r="C583" t="s">
        <v>1426</v>
      </c>
      <c r="D583" t="s">
        <v>1448</v>
      </c>
      <c r="E583" t="s">
        <v>154</v>
      </c>
      <c r="F583" t="s">
        <v>88</v>
      </c>
      <c r="G583">
        <v>30.388055000000001</v>
      </c>
      <c r="H583">
        <v>-96.087776000000005</v>
      </c>
      <c r="K583" t="s">
        <v>155</v>
      </c>
      <c r="L583">
        <v>1</v>
      </c>
      <c r="M583" t="s">
        <v>90</v>
      </c>
      <c r="N583" t="s">
        <v>91</v>
      </c>
      <c r="O583" t="s">
        <v>92</v>
      </c>
      <c r="S583" t="s">
        <v>93</v>
      </c>
      <c r="T583" t="s">
        <v>542</v>
      </c>
      <c r="U583" t="s">
        <v>186</v>
      </c>
    </row>
    <row r="584" spans="1:21" x14ac:dyDescent="0.3">
      <c r="A584" t="s">
        <v>1449</v>
      </c>
      <c r="B584" s="6" t="str">
        <f>HYPERLINK("http://data.ntsb.gov/carol-repgen/api/Aviation/ReportMain/GenerateNewestReport/99983/pdf","AccidentReport")</f>
        <v>AccidentReport</v>
      </c>
      <c r="C584" t="s">
        <v>1426</v>
      </c>
      <c r="D584" t="s">
        <v>1450</v>
      </c>
      <c r="E584" t="s">
        <v>402</v>
      </c>
      <c r="F584" t="s">
        <v>88</v>
      </c>
      <c r="G584">
        <v>34.938609999999997</v>
      </c>
      <c r="H584">
        <v>-82.227217999999993</v>
      </c>
      <c r="K584" t="s">
        <v>89</v>
      </c>
      <c r="L584">
        <v>1</v>
      </c>
      <c r="M584" t="s">
        <v>90</v>
      </c>
      <c r="N584" t="s">
        <v>91</v>
      </c>
      <c r="O584" t="s">
        <v>92</v>
      </c>
      <c r="S584" t="s">
        <v>108</v>
      </c>
      <c r="T584" t="s">
        <v>94</v>
      </c>
      <c r="U584" t="s">
        <v>95</v>
      </c>
    </row>
    <row r="585" spans="1:21" x14ac:dyDescent="0.3">
      <c r="A585" t="s">
        <v>1451</v>
      </c>
      <c r="B585" s="6" t="str">
        <f>HYPERLINK("http://data.ntsb.gov/carol-repgen/api/Aviation/ReportMain/GenerateNewestReport/99730/pdf","AccidentReport")</f>
        <v>AccidentReport</v>
      </c>
      <c r="C585" t="s">
        <v>1426</v>
      </c>
      <c r="D585" t="s">
        <v>505</v>
      </c>
      <c r="E585" t="s">
        <v>125</v>
      </c>
      <c r="F585" t="s">
        <v>88</v>
      </c>
      <c r="G585">
        <v>33.319625000000002</v>
      </c>
      <c r="H585">
        <v>-111.87063499999999</v>
      </c>
      <c r="K585" t="s">
        <v>89</v>
      </c>
      <c r="L585">
        <v>1</v>
      </c>
      <c r="M585" t="s">
        <v>90</v>
      </c>
      <c r="N585" t="s">
        <v>91</v>
      </c>
      <c r="O585" t="s">
        <v>92</v>
      </c>
      <c r="S585" t="s">
        <v>108</v>
      </c>
      <c r="T585" t="s">
        <v>109</v>
      </c>
      <c r="U585" t="s">
        <v>95</v>
      </c>
    </row>
    <row r="586" spans="1:21" x14ac:dyDescent="0.3">
      <c r="A586" t="s">
        <v>1452</v>
      </c>
      <c r="B586" s="6" t="str">
        <f>HYPERLINK("http://data.ntsb.gov/carol-repgen/api/Aviation/ReportMain/GenerateNewestReport/99732/pdf","AccidentReport")</f>
        <v>AccidentReport</v>
      </c>
      <c r="C586" t="s">
        <v>1426</v>
      </c>
      <c r="D586" t="s">
        <v>1231</v>
      </c>
      <c r="E586" t="s">
        <v>128</v>
      </c>
      <c r="F586" t="s">
        <v>88</v>
      </c>
      <c r="G586">
        <v>34.837775999999998</v>
      </c>
      <c r="H586">
        <v>-106.113609</v>
      </c>
      <c r="I586">
        <v>1</v>
      </c>
      <c r="K586" t="s">
        <v>107</v>
      </c>
      <c r="L586">
        <v>1</v>
      </c>
      <c r="M586" t="s">
        <v>155</v>
      </c>
      <c r="N586" t="s">
        <v>893</v>
      </c>
      <c r="O586" t="s">
        <v>92</v>
      </c>
      <c r="S586" t="s">
        <v>108</v>
      </c>
      <c r="T586" t="s">
        <v>381</v>
      </c>
      <c r="U586" t="s">
        <v>186</v>
      </c>
    </row>
    <row r="587" spans="1:21" x14ac:dyDescent="0.3">
      <c r="A587" t="s">
        <v>1453</v>
      </c>
      <c r="B587" s="6" t="str">
        <f>HYPERLINK("http://data.ntsb.gov/carol-repgen/api/Aviation/ReportMain/GenerateNewestReport/99733/pdf","AccidentReport")</f>
        <v>AccidentReport</v>
      </c>
      <c r="C587" t="s">
        <v>1454</v>
      </c>
      <c r="D587" t="s">
        <v>1455</v>
      </c>
      <c r="E587" t="s">
        <v>142</v>
      </c>
      <c r="F587" t="s">
        <v>88</v>
      </c>
      <c r="G587">
        <v>41.329723000000001</v>
      </c>
      <c r="H587">
        <v>-82.105834000000002</v>
      </c>
      <c r="I587">
        <v>1</v>
      </c>
      <c r="K587" t="s">
        <v>107</v>
      </c>
      <c r="L587">
        <v>1</v>
      </c>
      <c r="M587" t="s">
        <v>90</v>
      </c>
      <c r="N587" t="s">
        <v>91</v>
      </c>
      <c r="O587" t="s">
        <v>92</v>
      </c>
      <c r="S587" t="s">
        <v>108</v>
      </c>
      <c r="T587" t="s">
        <v>118</v>
      </c>
      <c r="U587" t="s">
        <v>248</v>
      </c>
    </row>
    <row r="588" spans="1:21" x14ac:dyDescent="0.3">
      <c r="A588" t="s">
        <v>1456</v>
      </c>
      <c r="B588" s="6" t="str">
        <f>HYPERLINK("http://data.ntsb.gov/carol-repgen/api/Aviation/ReportMain/GenerateNewestReport/99731/pdf","AccidentReport")</f>
        <v>AccidentReport</v>
      </c>
      <c r="C588" t="s">
        <v>1454</v>
      </c>
      <c r="D588" t="s">
        <v>1457</v>
      </c>
      <c r="E588" t="s">
        <v>154</v>
      </c>
      <c r="F588" t="s">
        <v>88</v>
      </c>
      <c r="G588">
        <v>32.96611</v>
      </c>
      <c r="H588">
        <v>-96.832778000000005</v>
      </c>
      <c r="I588">
        <v>10</v>
      </c>
      <c r="K588" t="s">
        <v>107</v>
      </c>
      <c r="L588">
        <v>1</v>
      </c>
      <c r="M588" t="s">
        <v>147</v>
      </c>
      <c r="N588" t="s">
        <v>91</v>
      </c>
      <c r="O588" t="s">
        <v>92</v>
      </c>
      <c r="S588" t="s">
        <v>108</v>
      </c>
      <c r="T588" t="s">
        <v>102</v>
      </c>
      <c r="U588" t="s">
        <v>150</v>
      </c>
    </row>
    <row r="589" spans="1:21" x14ac:dyDescent="0.3">
      <c r="A589" t="s">
        <v>1458</v>
      </c>
      <c r="B589" s="6" t="str">
        <f>HYPERLINK("http://data.ntsb.gov/carol-repgen/api/Aviation/ReportMain/GenerateNewestReport/99736/pdf","AccidentReport")</f>
        <v>AccidentReport</v>
      </c>
      <c r="C589" t="s">
        <v>1454</v>
      </c>
      <c r="D589" t="s">
        <v>556</v>
      </c>
      <c r="E589" t="s">
        <v>176</v>
      </c>
      <c r="F589" t="s">
        <v>88</v>
      </c>
      <c r="G589">
        <v>46.566943999999999</v>
      </c>
      <c r="H589">
        <v>-120.537223</v>
      </c>
      <c r="K589" t="s">
        <v>89</v>
      </c>
      <c r="L589">
        <v>1</v>
      </c>
      <c r="M589" t="s">
        <v>90</v>
      </c>
      <c r="N589" t="s">
        <v>91</v>
      </c>
      <c r="O589" t="s">
        <v>92</v>
      </c>
      <c r="S589" t="s">
        <v>108</v>
      </c>
      <c r="T589" t="s">
        <v>139</v>
      </c>
      <c r="U589" t="s">
        <v>95</v>
      </c>
    </row>
    <row r="590" spans="1:21" x14ac:dyDescent="0.3">
      <c r="A590" t="s">
        <v>1459</v>
      </c>
      <c r="B590" s="6" t="str">
        <f>HYPERLINK("http://data.ntsb.gov/carol-repgen/api/Aviation/ReportMain/GenerateNewestReport/99803/pdf","AccidentReport")</f>
        <v>AccidentReport</v>
      </c>
      <c r="C590" t="s">
        <v>1454</v>
      </c>
      <c r="D590" t="s">
        <v>1057</v>
      </c>
      <c r="E590" t="s">
        <v>265</v>
      </c>
      <c r="F590" t="s">
        <v>88</v>
      </c>
      <c r="G590">
        <v>38.404997999999999</v>
      </c>
      <c r="H590">
        <v>-77.461944000000003</v>
      </c>
      <c r="I590">
        <v>0</v>
      </c>
      <c r="J590">
        <v>0</v>
      </c>
      <c r="K590" t="s">
        <v>89</v>
      </c>
      <c r="L590">
        <v>1</v>
      </c>
      <c r="M590" t="s">
        <v>90</v>
      </c>
      <c r="N590" t="s">
        <v>91</v>
      </c>
      <c r="O590" t="s">
        <v>92</v>
      </c>
      <c r="S590" t="s">
        <v>418</v>
      </c>
      <c r="T590" t="s">
        <v>109</v>
      </c>
      <c r="U590" t="s">
        <v>95</v>
      </c>
    </row>
    <row r="591" spans="1:21" x14ac:dyDescent="0.3">
      <c r="A591" t="s">
        <v>1460</v>
      </c>
      <c r="B591" s="6" t="str">
        <f>HYPERLINK("http://data.ntsb.gov/carol-repgen/api/Aviation/ReportMain/GenerateNewestReport/99794/pdf","AccidentReport")</f>
        <v>AccidentReport</v>
      </c>
      <c r="C591" t="s">
        <v>1454</v>
      </c>
      <c r="D591" t="s">
        <v>1461</v>
      </c>
      <c r="E591" t="s">
        <v>206</v>
      </c>
      <c r="F591" t="s">
        <v>88</v>
      </c>
      <c r="G591">
        <v>35.918888000000003</v>
      </c>
      <c r="H591">
        <v>-75.695555999999996</v>
      </c>
      <c r="I591">
        <v>0</v>
      </c>
      <c r="J591">
        <v>0</v>
      </c>
      <c r="K591" t="s">
        <v>155</v>
      </c>
      <c r="L591">
        <v>1</v>
      </c>
      <c r="M591" t="s">
        <v>90</v>
      </c>
      <c r="N591" t="s">
        <v>91</v>
      </c>
      <c r="O591" t="s">
        <v>92</v>
      </c>
      <c r="S591" t="s">
        <v>170</v>
      </c>
      <c r="T591" t="s">
        <v>102</v>
      </c>
      <c r="U591" t="s">
        <v>150</v>
      </c>
    </row>
    <row r="592" spans="1:21" x14ac:dyDescent="0.3">
      <c r="A592" t="s">
        <v>1462</v>
      </c>
      <c r="B592" s="6" t="str">
        <f>HYPERLINK("http://data.ntsb.gov/carol-repgen/api/Aviation/ReportMain/GenerateNewestReport/99743/pdf","AccidentReport")</f>
        <v>AccidentReport</v>
      </c>
      <c r="C592" t="s">
        <v>1454</v>
      </c>
      <c r="D592" t="s">
        <v>1463</v>
      </c>
      <c r="E592" t="s">
        <v>192</v>
      </c>
      <c r="F592" t="s">
        <v>88</v>
      </c>
      <c r="G592">
        <v>38.403056999999997</v>
      </c>
      <c r="H592">
        <v>-109.64610999999999</v>
      </c>
      <c r="I592">
        <v>2</v>
      </c>
      <c r="K592" t="s">
        <v>107</v>
      </c>
      <c r="L592">
        <v>1</v>
      </c>
      <c r="M592" t="s">
        <v>90</v>
      </c>
      <c r="N592" t="s">
        <v>91</v>
      </c>
      <c r="O592" t="s">
        <v>92</v>
      </c>
      <c r="S592" t="s">
        <v>108</v>
      </c>
      <c r="T592" t="s">
        <v>332</v>
      </c>
      <c r="U592" t="s">
        <v>103</v>
      </c>
    </row>
    <row r="593" spans="1:21" x14ac:dyDescent="0.3">
      <c r="A593" t="s">
        <v>1464</v>
      </c>
      <c r="B593" s="6" t="str">
        <f>HYPERLINK("http://data.ntsb.gov/carol-repgen/api/Aviation/ReportMain/GenerateNewestReport/99765/pdf","AccidentReport")</f>
        <v>AccidentReport</v>
      </c>
      <c r="C593" t="s">
        <v>1454</v>
      </c>
      <c r="D593" t="s">
        <v>844</v>
      </c>
      <c r="E593" t="s">
        <v>112</v>
      </c>
      <c r="F593" t="s">
        <v>88</v>
      </c>
      <c r="G593">
        <v>47.159519000000003</v>
      </c>
      <c r="H593">
        <v>-112.680877</v>
      </c>
      <c r="K593" t="s">
        <v>155</v>
      </c>
      <c r="L593">
        <v>1</v>
      </c>
      <c r="M593" t="s">
        <v>90</v>
      </c>
      <c r="N593" t="s">
        <v>91</v>
      </c>
      <c r="O593" t="s">
        <v>92</v>
      </c>
      <c r="S593" t="s">
        <v>108</v>
      </c>
      <c r="T593" t="s">
        <v>109</v>
      </c>
      <c r="U593" t="s">
        <v>95</v>
      </c>
    </row>
    <row r="594" spans="1:21" x14ac:dyDescent="0.3">
      <c r="A594" t="s">
        <v>1465</v>
      </c>
      <c r="B594" s="6" t="str">
        <f>HYPERLINK("http://data.ntsb.gov/carol-repgen/api/Aviation/ReportMain/GenerateNewestReport/99848/pdf","AccidentReport")</f>
        <v>AccidentReport</v>
      </c>
      <c r="C594" t="s">
        <v>1454</v>
      </c>
      <c r="D594" t="s">
        <v>1466</v>
      </c>
      <c r="E594" t="s">
        <v>106</v>
      </c>
      <c r="F594" t="s">
        <v>88</v>
      </c>
      <c r="G594">
        <v>34.914721999999998</v>
      </c>
      <c r="H594">
        <v>-115.796386</v>
      </c>
      <c r="K594" t="s">
        <v>89</v>
      </c>
      <c r="L594">
        <v>1</v>
      </c>
      <c r="M594" t="s">
        <v>90</v>
      </c>
      <c r="N594" t="s">
        <v>91</v>
      </c>
      <c r="O594" t="s">
        <v>92</v>
      </c>
      <c r="S594" t="s">
        <v>108</v>
      </c>
      <c r="T594" t="s">
        <v>159</v>
      </c>
      <c r="U594" t="s">
        <v>186</v>
      </c>
    </row>
    <row r="595" spans="1:21" x14ac:dyDescent="0.3">
      <c r="A595" t="s">
        <v>1467</v>
      </c>
      <c r="B595" s="6" t="str">
        <f>HYPERLINK("http://data.ntsb.gov/carol-repgen/api/Aviation/ReportMain/GenerateNewestReport/99847/pdf","AccidentReport")</f>
        <v>AccidentReport</v>
      </c>
      <c r="C595" t="s">
        <v>1454</v>
      </c>
      <c r="D595" t="s">
        <v>1468</v>
      </c>
      <c r="E595" t="s">
        <v>106</v>
      </c>
      <c r="F595" t="s">
        <v>88</v>
      </c>
      <c r="G595">
        <v>34.095275000000001</v>
      </c>
      <c r="H595">
        <v>-117.235</v>
      </c>
      <c r="K595" t="s">
        <v>89</v>
      </c>
      <c r="L595">
        <v>1</v>
      </c>
      <c r="M595" t="s">
        <v>147</v>
      </c>
      <c r="N595" t="s">
        <v>91</v>
      </c>
      <c r="O595" t="s">
        <v>92</v>
      </c>
      <c r="S595" t="s">
        <v>108</v>
      </c>
      <c r="T595" t="s">
        <v>159</v>
      </c>
      <c r="U595" t="s">
        <v>221</v>
      </c>
    </row>
    <row r="596" spans="1:21" x14ac:dyDescent="0.3">
      <c r="A596" t="s">
        <v>1469</v>
      </c>
      <c r="B596" s="6" t="str">
        <f>HYPERLINK("http://data.ntsb.gov/carol-repgen/api/Aviation/ReportMain/GenerateNewestReport/99748/pdf","AccidentReport")</f>
        <v>AccidentReport</v>
      </c>
      <c r="C596" t="s">
        <v>1470</v>
      </c>
      <c r="D596" t="s">
        <v>1471</v>
      </c>
      <c r="E596" t="s">
        <v>349</v>
      </c>
      <c r="F596" t="s">
        <v>88</v>
      </c>
      <c r="G596">
        <v>38.628055000000003</v>
      </c>
      <c r="H596">
        <v>-86.475830000000002</v>
      </c>
      <c r="I596">
        <v>1</v>
      </c>
      <c r="K596" t="s">
        <v>107</v>
      </c>
      <c r="L596">
        <v>1</v>
      </c>
      <c r="M596" t="s">
        <v>90</v>
      </c>
      <c r="N596" t="s">
        <v>91</v>
      </c>
      <c r="O596" t="s">
        <v>92</v>
      </c>
      <c r="S596" t="s">
        <v>108</v>
      </c>
      <c r="T596" t="s">
        <v>102</v>
      </c>
      <c r="U596" t="s">
        <v>103</v>
      </c>
    </row>
    <row r="597" spans="1:21" x14ac:dyDescent="0.3">
      <c r="A597" t="s">
        <v>1472</v>
      </c>
      <c r="B597" s="6" t="str">
        <f>HYPERLINK("http://data.ntsb.gov/carol-repgen/api/Aviation/ReportMain/GenerateNewestReport/99747/pdf","AccidentReport")</f>
        <v>AccidentReport</v>
      </c>
      <c r="C597" t="s">
        <v>1470</v>
      </c>
      <c r="D597" t="s">
        <v>1473</v>
      </c>
      <c r="E597" t="s">
        <v>613</v>
      </c>
      <c r="F597" t="s">
        <v>88</v>
      </c>
      <c r="G597">
        <v>35.334445000000002</v>
      </c>
      <c r="H597">
        <v>-94.265556000000004</v>
      </c>
      <c r="K597" t="s">
        <v>89</v>
      </c>
      <c r="L597">
        <v>1</v>
      </c>
      <c r="M597" t="s">
        <v>90</v>
      </c>
      <c r="N597" t="s">
        <v>91</v>
      </c>
      <c r="O597" t="s">
        <v>92</v>
      </c>
      <c r="S597" t="s">
        <v>93</v>
      </c>
      <c r="T597" t="s">
        <v>118</v>
      </c>
      <c r="U597" t="s">
        <v>186</v>
      </c>
    </row>
    <row r="598" spans="1:21" x14ac:dyDescent="0.3">
      <c r="A598" t="s">
        <v>1474</v>
      </c>
      <c r="B598" s="6" t="str">
        <f>HYPERLINK("http://data.ntsb.gov/carol-repgen/api/Aviation/ReportMain/GenerateNewestReport/99750/pdf","AccidentReport")</f>
        <v>AccidentReport</v>
      </c>
      <c r="C598" t="s">
        <v>1470</v>
      </c>
      <c r="D598" t="s">
        <v>1475</v>
      </c>
      <c r="E598" t="s">
        <v>122</v>
      </c>
      <c r="F598" t="s">
        <v>88</v>
      </c>
      <c r="G598">
        <v>47.774444000000003</v>
      </c>
      <c r="H598">
        <v>-116.819442</v>
      </c>
      <c r="K598" t="s">
        <v>89</v>
      </c>
      <c r="L598">
        <v>1</v>
      </c>
      <c r="M598" t="s">
        <v>90</v>
      </c>
      <c r="N598" t="s">
        <v>91</v>
      </c>
      <c r="O598" t="s">
        <v>92</v>
      </c>
      <c r="S598" t="s">
        <v>108</v>
      </c>
      <c r="T598" t="s">
        <v>94</v>
      </c>
      <c r="U598" t="s">
        <v>95</v>
      </c>
    </row>
    <row r="599" spans="1:21" x14ac:dyDescent="0.3">
      <c r="A599" t="s">
        <v>1476</v>
      </c>
      <c r="B599" s="6" t="str">
        <f>HYPERLINK("http://data.ntsb.gov/carol-repgen/api/Aviation/ReportMain/GenerateNewestReport/99764/pdf","AccidentReport")</f>
        <v>AccidentReport</v>
      </c>
      <c r="C599" t="s">
        <v>1470</v>
      </c>
      <c r="D599" t="s">
        <v>1477</v>
      </c>
      <c r="E599" t="s">
        <v>345</v>
      </c>
      <c r="F599" t="s">
        <v>88</v>
      </c>
      <c r="G599">
        <v>41.154997999999999</v>
      </c>
      <c r="H599">
        <v>-104.79555499999999</v>
      </c>
      <c r="K599" t="s">
        <v>89</v>
      </c>
      <c r="L599">
        <v>1</v>
      </c>
      <c r="M599" t="s">
        <v>90</v>
      </c>
      <c r="N599" t="s">
        <v>91</v>
      </c>
      <c r="O599" t="s">
        <v>92</v>
      </c>
      <c r="S599" t="s">
        <v>108</v>
      </c>
      <c r="T599" t="s">
        <v>109</v>
      </c>
      <c r="U599" t="s">
        <v>95</v>
      </c>
    </row>
    <row r="600" spans="1:21" x14ac:dyDescent="0.3">
      <c r="A600" t="s">
        <v>1478</v>
      </c>
      <c r="B600" s="6" t="str">
        <f>HYPERLINK("http://data.ntsb.gov/carol-repgen/api/Aviation/ReportMain/GenerateNewestReport/99745/pdf","AccidentReport")</f>
        <v>AccidentReport</v>
      </c>
      <c r="C600" t="s">
        <v>1470</v>
      </c>
      <c r="D600" t="s">
        <v>1479</v>
      </c>
      <c r="E600" t="s">
        <v>192</v>
      </c>
      <c r="F600" t="s">
        <v>88</v>
      </c>
      <c r="G600">
        <v>39.384998000000003</v>
      </c>
      <c r="H600">
        <v>-111.49916</v>
      </c>
      <c r="I600">
        <v>2</v>
      </c>
      <c r="K600" t="s">
        <v>107</v>
      </c>
      <c r="L600">
        <v>1</v>
      </c>
      <c r="M600" t="s">
        <v>147</v>
      </c>
      <c r="N600" t="s">
        <v>893</v>
      </c>
      <c r="O600" t="s">
        <v>92</v>
      </c>
      <c r="S600" t="s">
        <v>108</v>
      </c>
      <c r="T600" t="s">
        <v>442</v>
      </c>
      <c r="U600" t="s">
        <v>103</v>
      </c>
    </row>
    <row r="601" spans="1:21" x14ac:dyDescent="0.3">
      <c r="A601" t="s">
        <v>1480</v>
      </c>
      <c r="B601" s="6" t="str">
        <f>HYPERLINK("http://data.ntsb.gov/carol-repgen/api/Aviation/ReportMain/GenerateNewestReport/99809/pdf","AccidentReport")</f>
        <v>AccidentReport</v>
      </c>
      <c r="C601" t="s">
        <v>1481</v>
      </c>
      <c r="D601" t="s">
        <v>631</v>
      </c>
      <c r="E601" t="s">
        <v>146</v>
      </c>
      <c r="F601" t="s">
        <v>88</v>
      </c>
      <c r="G601">
        <v>35.856945000000003</v>
      </c>
      <c r="H601">
        <v>-83.524444000000003</v>
      </c>
      <c r="K601" t="s">
        <v>89</v>
      </c>
      <c r="L601">
        <v>1</v>
      </c>
      <c r="M601" t="s">
        <v>90</v>
      </c>
      <c r="N601" t="s">
        <v>91</v>
      </c>
      <c r="O601" t="s">
        <v>92</v>
      </c>
      <c r="S601" t="s">
        <v>108</v>
      </c>
      <c r="T601" t="s">
        <v>94</v>
      </c>
      <c r="U601" t="s">
        <v>95</v>
      </c>
    </row>
    <row r="602" spans="1:21" x14ac:dyDescent="0.3">
      <c r="A602" t="s">
        <v>1482</v>
      </c>
      <c r="B602" s="6" t="str">
        <f>HYPERLINK("http://data.ntsb.gov/carol-repgen/api/Aviation/ReportMain/GenerateNewestReport/99783/pdf","AccidentReport")</f>
        <v>AccidentReport</v>
      </c>
      <c r="C602" t="s">
        <v>1481</v>
      </c>
      <c r="D602" t="s">
        <v>1483</v>
      </c>
      <c r="E602" t="s">
        <v>106</v>
      </c>
      <c r="F602" t="s">
        <v>88</v>
      </c>
      <c r="G602">
        <v>37.688887999999999</v>
      </c>
      <c r="H602">
        <v>-121.441665</v>
      </c>
      <c r="K602" t="s">
        <v>89</v>
      </c>
      <c r="L602">
        <v>1</v>
      </c>
      <c r="M602" t="s">
        <v>90</v>
      </c>
      <c r="N602" t="s">
        <v>91</v>
      </c>
      <c r="O602" t="s">
        <v>92</v>
      </c>
      <c r="S602" t="s">
        <v>93</v>
      </c>
      <c r="T602" t="s">
        <v>94</v>
      </c>
      <c r="U602" t="s">
        <v>95</v>
      </c>
    </row>
    <row r="603" spans="1:21" x14ac:dyDescent="0.3">
      <c r="A603" t="s">
        <v>1484</v>
      </c>
      <c r="B603" s="6" t="str">
        <f>HYPERLINK("http://data.ntsb.gov/carol-repgen/api/Aviation/ReportMain/GenerateNewestReport/99795/pdf","AccidentReport")</f>
        <v>AccidentReport</v>
      </c>
      <c r="C603" t="s">
        <v>1481</v>
      </c>
      <c r="D603" t="s">
        <v>1283</v>
      </c>
      <c r="E603" t="s">
        <v>122</v>
      </c>
      <c r="F603" t="s">
        <v>88</v>
      </c>
      <c r="G603">
        <v>44.20861</v>
      </c>
      <c r="H603">
        <v>-114.934448</v>
      </c>
      <c r="K603" t="s">
        <v>89</v>
      </c>
      <c r="L603">
        <v>1</v>
      </c>
      <c r="M603" t="s">
        <v>90</v>
      </c>
      <c r="N603" t="s">
        <v>91</v>
      </c>
      <c r="O603" t="s">
        <v>92</v>
      </c>
      <c r="S603" t="s">
        <v>108</v>
      </c>
      <c r="T603" t="s">
        <v>94</v>
      </c>
      <c r="U603" t="s">
        <v>248</v>
      </c>
    </row>
    <row r="604" spans="1:21" x14ac:dyDescent="0.3">
      <c r="A604" t="s">
        <v>1485</v>
      </c>
      <c r="B604" s="6" t="str">
        <f>HYPERLINK("http://data.ntsb.gov/carol-repgen/api/Aviation/ReportMain/GenerateNewestReport/99793/pdf","AccidentReport")</f>
        <v>AccidentReport</v>
      </c>
      <c r="C604" t="s">
        <v>1486</v>
      </c>
      <c r="D604" t="s">
        <v>1487</v>
      </c>
      <c r="E604" t="s">
        <v>408</v>
      </c>
      <c r="F604" t="s">
        <v>88</v>
      </c>
      <c r="G604">
        <v>42.740833000000002</v>
      </c>
      <c r="H604">
        <v>-71.095000999999996</v>
      </c>
      <c r="K604" t="s">
        <v>89</v>
      </c>
      <c r="L604">
        <v>1</v>
      </c>
      <c r="M604" t="s">
        <v>90</v>
      </c>
      <c r="N604" t="s">
        <v>893</v>
      </c>
      <c r="O604" t="s">
        <v>92</v>
      </c>
      <c r="S604" t="s">
        <v>108</v>
      </c>
      <c r="T604" t="s">
        <v>159</v>
      </c>
      <c r="U604" t="s">
        <v>103</v>
      </c>
    </row>
    <row r="605" spans="1:21" x14ac:dyDescent="0.3">
      <c r="A605" t="s">
        <v>1488</v>
      </c>
      <c r="B605" s="6" t="str">
        <f>HYPERLINK("http://data.ntsb.gov/carol-repgen/api/Aviation/ReportMain/GenerateNewestReport/99785/pdf","AccidentReport")</f>
        <v>AccidentReport</v>
      </c>
      <c r="C605" t="s">
        <v>1486</v>
      </c>
      <c r="D605" t="s">
        <v>1489</v>
      </c>
      <c r="E605" t="s">
        <v>734</v>
      </c>
      <c r="F605" t="s">
        <v>88</v>
      </c>
      <c r="G605">
        <v>44.438609999999997</v>
      </c>
      <c r="H605">
        <v>-69.266670000000005</v>
      </c>
      <c r="K605" t="s">
        <v>89</v>
      </c>
      <c r="L605">
        <v>1</v>
      </c>
      <c r="M605" t="s">
        <v>90</v>
      </c>
      <c r="N605" t="s">
        <v>91</v>
      </c>
      <c r="O605" t="s">
        <v>92</v>
      </c>
      <c r="S605" t="s">
        <v>108</v>
      </c>
      <c r="T605" t="s">
        <v>102</v>
      </c>
      <c r="U605" t="s">
        <v>103</v>
      </c>
    </row>
    <row r="606" spans="1:21" x14ac:dyDescent="0.3">
      <c r="A606" t="s">
        <v>1490</v>
      </c>
      <c r="B606" s="6" t="str">
        <f>HYPERLINK("http://data.ntsb.gov/carol-repgen/api/Aviation/ReportMain/GenerateNewestReport/99798/pdf","AccidentReport")</f>
        <v>AccidentReport</v>
      </c>
      <c r="C606" t="s">
        <v>1486</v>
      </c>
      <c r="D606" t="s">
        <v>1491</v>
      </c>
      <c r="E606" t="s">
        <v>395</v>
      </c>
      <c r="F606" t="s">
        <v>88</v>
      </c>
      <c r="G606">
        <v>19.911110999999998</v>
      </c>
      <c r="H606">
        <v>-155.8125</v>
      </c>
      <c r="K606" t="s">
        <v>89</v>
      </c>
      <c r="L606">
        <v>1</v>
      </c>
      <c r="M606" t="s">
        <v>90</v>
      </c>
      <c r="N606" t="s">
        <v>91</v>
      </c>
      <c r="O606" t="s">
        <v>92</v>
      </c>
      <c r="S606" t="s">
        <v>101</v>
      </c>
      <c r="T606" t="s">
        <v>411</v>
      </c>
      <c r="U606" t="s">
        <v>95</v>
      </c>
    </row>
    <row r="607" spans="1:21" x14ac:dyDescent="0.3">
      <c r="A607" t="s">
        <v>1492</v>
      </c>
      <c r="B607" s="6" t="str">
        <f>HYPERLINK("http://data.ntsb.gov/carol-repgen/api/Aviation/ReportMain/GenerateNewestReport/99770/pdf","AccidentReport")</f>
        <v>AccidentReport</v>
      </c>
      <c r="C607" t="s">
        <v>1493</v>
      </c>
      <c r="D607" t="s">
        <v>1494</v>
      </c>
      <c r="E607" t="s">
        <v>228</v>
      </c>
      <c r="F607" t="s">
        <v>88</v>
      </c>
      <c r="G607">
        <v>30.520833</v>
      </c>
      <c r="H607">
        <v>-93.047499999999999</v>
      </c>
      <c r="K607" t="s">
        <v>155</v>
      </c>
      <c r="L607">
        <v>1</v>
      </c>
      <c r="M607" t="s">
        <v>90</v>
      </c>
      <c r="N607" t="s">
        <v>91</v>
      </c>
      <c r="O607" t="s">
        <v>92</v>
      </c>
      <c r="S607" t="s">
        <v>108</v>
      </c>
      <c r="T607" t="s">
        <v>159</v>
      </c>
      <c r="U607" t="s">
        <v>186</v>
      </c>
    </row>
    <row r="608" spans="1:21" x14ac:dyDescent="0.3">
      <c r="A608" t="s">
        <v>1495</v>
      </c>
      <c r="B608" s="6" t="str">
        <f>HYPERLINK("http://data.ntsb.gov/carol-repgen/api/Aviation/ReportMain/GenerateNewestReport/99771/pdf","AccidentReport")</f>
        <v>AccidentReport</v>
      </c>
      <c r="C608" t="s">
        <v>1493</v>
      </c>
      <c r="D608" t="s">
        <v>1496</v>
      </c>
      <c r="E608" t="s">
        <v>154</v>
      </c>
      <c r="F608" t="s">
        <v>88</v>
      </c>
      <c r="G608">
        <v>29.645833</v>
      </c>
      <c r="H608">
        <v>-95.276947000000007</v>
      </c>
      <c r="K608" t="s">
        <v>155</v>
      </c>
      <c r="L608">
        <v>1</v>
      </c>
      <c r="M608" t="s">
        <v>90</v>
      </c>
      <c r="N608" t="s">
        <v>100</v>
      </c>
      <c r="O608" t="s">
        <v>92</v>
      </c>
      <c r="S608" t="s">
        <v>531</v>
      </c>
      <c r="T608" t="s">
        <v>109</v>
      </c>
      <c r="U608" t="s">
        <v>95</v>
      </c>
    </row>
    <row r="609" spans="1:21" x14ac:dyDescent="0.3">
      <c r="A609" t="s">
        <v>1497</v>
      </c>
      <c r="B609" s="6" t="str">
        <f>HYPERLINK("http://data.ntsb.gov/carol-repgen/api/Aviation/ReportMain/GenerateNewestReport/99769/pdf","AccidentReport")</f>
        <v>AccidentReport</v>
      </c>
      <c r="C609" t="s">
        <v>1493</v>
      </c>
      <c r="D609" t="s">
        <v>1498</v>
      </c>
      <c r="E609" t="s">
        <v>641</v>
      </c>
      <c r="F609" t="s">
        <v>88</v>
      </c>
      <c r="G609">
        <v>33.301943999999999</v>
      </c>
      <c r="H609">
        <v>-89.814445000000006</v>
      </c>
      <c r="J609">
        <v>2</v>
      </c>
      <c r="K609" t="s">
        <v>99</v>
      </c>
      <c r="L609">
        <v>1</v>
      </c>
      <c r="M609" t="s">
        <v>90</v>
      </c>
      <c r="N609" t="s">
        <v>91</v>
      </c>
      <c r="O609" t="s">
        <v>92</v>
      </c>
      <c r="S609" t="s">
        <v>108</v>
      </c>
      <c r="T609" t="s">
        <v>102</v>
      </c>
      <c r="U609" t="s">
        <v>119</v>
      </c>
    </row>
    <row r="610" spans="1:21" x14ac:dyDescent="0.3">
      <c r="A610" t="s">
        <v>1499</v>
      </c>
      <c r="B610" s="6" t="str">
        <f>HYPERLINK("http://data.ntsb.gov/carol-repgen/api/Aviation/ReportMain/GenerateNewestReport/99766/pdf","AccidentReport")</f>
        <v>AccidentReport</v>
      </c>
      <c r="C610" t="s">
        <v>1493</v>
      </c>
      <c r="D610" t="s">
        <v>1500</v>
      </c>
      <c r="F610" t="s">
        <v>1501</v>
      </c>
      <c r="G610">
        <v>27.238056</v>
      </c>
      <c r="H610">
        <v>-78.304443000000006</v>
      </c>
      <c r="I610">
        <v>7</v>
      </c>
      <c r="J610">
        <v>0</v>
      </c>
      <c r="K610" t="s">
        <v>107</v>
      </c>
      <c r="L610">
        <v>1</v>
      </c>
      <c r="M610" t="s">
        <v>90</v>
      </c>
      <c r="N610" t="s">
        <v>100</v>
      </c>
      <c r="O610" t="s">
        <v>92</v>
      </c>
      <c r="S610" t="s">
        <v>108</v>
      </c>
      <c r="T610" t="s">
        <v>102</v>
      </c>
      <c r="U610" t="s">
        <v>150</v>
      </c>
    </row>
    <row r="611" spans="1:21" x14ac:dyDescent="0.3">
      <c r="A611" t="s">
        <v>1502</v>
      </c>
      <c r="B611" s="6" t="str">
        <f>HYPERLINK("http://data.ntsb.gov/carol-repgen/api/Aviation/ReportMain/GenerateNewestReport/99797/pdf","AccidentReport")</f>
        <v>AccidentReport</v>
      </c>
      <c r="C611" t="s">
        <v>1493</v>
      </c>
      <c r="D611" t="s">
        <v>1503</v>
      </c>
      <c r="E611" t="s">
        <v>345</v>
      </c>
      <c r="F611" t="s">
        <v>88</v>
      </c>
      <c r="G611">
        <v>42.89611</v>
      </c>
      <c r="H611">
        <v>-106.471389</v>
      </c>
      <c r="K611" t="s">
        <v>89</v>
      </c>
      <c r="L611">
        <v>1</v>
      </c>
      <c r="M611" t="s">
        <v>90</v>
      </c>
      <c r="N611" t="s">
        <v>91</v>
      </c>
      <c r="O611" t="s">
        <v>92</v>
      </c>
      <c r="S611" t="s">
        <v>108</v>
      </c>
      <c r="T611" t="s">
        <v>94</v>
      </c>
      <c r="U611" t="s">
        <v>95</v>
      </c>
    </row>
    <row r="612" spans="1:21" x14ac:dyDescent="0.3">
      <c r="A612" t="s">
        <v>1504</v>
      </c>
      <c r="B612" s="6" t="str">
        <f>HYPERLINK("http://data.ntsb.gov/carol-repgen/api/Aviation/ReportMain/GenerateNewestReport/99878/pdf","AccidentReport")</f>
        <v>AccidentReport</v>
      </c>
      <c r="C612" t="s">
        <v>1493</v>
      </c>
      <c r="D612" t="s">
        <v>1505</v>
      </c>
      <c r="E612" t="s">
        <v>98</v>
      </c>
      <c r="F612" t="s">
        <v>88</v>
      </c>
      <c r="G612">
        <v>25.004999000000002</v>
      </c>
      <c r="H612">
        <v>-80.532218</v>
      </c>
      <c r="K612" t="s">
        <v>89</v>
      </c>
      <c r="L612">
        <v>1</v>
      </c>
      <c r="M612" t="s">
        <v>90</v>
      </c>
      <c r="N612" t="s">
        <v>91</v>
      </c>
      <c r="O612" t="s">
        <v>92</v>
      </c>
      <c r="S612" t="s">
        <v>108</v>
      </c>
      <c r="T612" t="s">
        <v>499</v>
      </c>
      <c r="U612" t="s">
        <v>95</v>
      </c>
    </row>
    <row r="613" spans="1:21" x14ac:dyDescent="0.3">
      <c r="A613" t="s">
        <v>1506</v>
      </c>
      <c r="B613" s="6" t="str">
        <f>HYPERLINK("http://data.ntsb.gov/carol-repgen/api/Aviation/ReportMain/GenerateNewestReport/99774/pdf","AccidentReport")</f>
        <v>AccidentReport</v>
      </c>
      <c r="C613" t="s">
        <v>1507</v>
      </c>
      <c r="D613" t="s">
        <v>1508</v>
      </c>
      <c r="E613" t="s">
        <v>360</v>
      </c>
      <c r="F613" t="s">
        <v>88</v>
      </c>
      <c r="G613">
        <v>40.991942999999999</v>
      </c>
      <c r="H613">
        <v>-87.835555999999997</v>
      </c>
      <c r="I613">
        <v>1</v>
      </c>
      <c r="J613">
        <v>1</v>
      </c>
      <c r="K613" t="s">
        <v>107</v>
      </c>
      <c r="L613">
        <v>1</v>
      </c>
      <c r="M613" t="s">
        <v>90</v>
      </c>
      <c r="N613" t="s">
        <v>91</v>
      </c>
      <c r="O613" t="s">
        <v>92</v>
      </c>
      <c r="S613" t="s">
        <v>108</v>
      </c>
      <c r="T613" t="s">
        <v>159</v>
      </c>
      <c r="U613" t="s">
        <v>186</v>
      </c>
    </row>
    <row r="614" spans="1:21" x14ac:dyDescent="0.3">
      <c r="A614" t="s">
        <v>1509</v>
      </c>
      <c r="B614" s="6" t="str">
        <f>HYPERLINK("http://data.ntsb.gov/carol-repgen/api/Aviation/ReportMain/GenerateNewestReport/99780/pdf","AccidentReport")</f>
        <v>AccidentReport</v>
      </c>
      <c r="C614" t="s">
        <v>1507</v>
      </c>
      <c r="D614" t="s">
        <v>565</v>
      </c>
      <c r="E614" t="s">
        <v>233</v>
      </c>
      <c r="F614" t="s">
        <v>88</v>
      </c>
      <c r="G614">
        <v>62.630001</v>
      </c>
      <c r="H614">
        <v>-149.83000100000001</v>
      </c>
      <c r="K614" t="s">
        <v>89</v>
      </c>
      <c r="L614">
        <v>1</v>
      </c>
      <c r="M614" t="s">
        <v>90</v>
      </c>
      <c r="N614" t="s">
        <v>91</v>
      </c>
      <c r="O614" t="s">
        <v>92</v>
      </c>
      <c r="S614" t="s">
        <v>108</v>
      </c>
      <c r="T614" t="s">
        <v>411</v>
      </c>
      <c r="U614" t="s">
        <v>95</v>
      </c>
    </row>
    <row r="615" spans="1:21" x14ac:dyDescent="0.3">
      <c r="A615" t="s">
        <v>1510</v>
      </c>
      <c r="B615" s="6" t="str">
        <f>HYPERLINK("http://data.ntsb.gov/carol-repgen/api/Aviation/ReportMain/GenerateNewestReport/99775/pdf","AccidentReport")</f>
        <v>AccidentReport</v>
      </c>
      <c r="C615" t="s">
        <v>1511</v>
      </c>
      <c r="D615" t="s">
        <v>1512</v>
      </c>
      <c r="E615" t="s">
        <v>641</v>
      </c>
      <c r="F615" t="s">
        <v>88</v>
      </c>
      <c r="G615">
        <v>32.427500999999999</v>
      </c>
      <c r="H615">
        <v>-89.940276999999995</v>
      </c>
      <c r="I615">
        <v>1</v>
      </c>
      <c r="K615" t="s">
        <v>107</v>
      </c>
      <c r="L615">
        <v>1</v>
      </c>
      <c r="M615" t="s">
        <v>90</v>
      </c>
      <c r="N615" t="s">
        <v>893</v>
      </c>
      <c r="O615" t="s">
        <v>92</v>
      </c>
      <c r="S615" t="s">
        <v>108</v>
      </c>
      <c r="T615" t="s">
        <v>411</v>
      </c>
      <c r="U615" t="s">
        <v>95</v>
      </c>
    </row>
    <row r="616" spans="1:21" x14ac:dyDescent="0.3">
      <c r="A616" t="s">
        <v>1513</v>
      </c>
      <c r="B616" s="6" t="str">
        <f>HYPERLINK("http://data.ntsb.gov/carol-repgen/api/Aviation/ReportMain/GenerateNewestReport/99776/pdf","AccidentReport")</f>
        <v>AccidentReport</v>
      </c>
      <c r="C616" t="s">
        <v>1511</v>
      </c>
      <c r="D616" t="s">
        <v>1514</v>
      </c>
      <c r="E616" t="s">
        <v>641</v>
      </c>
      <c r="F616" t="s">
        <v>88</v>
      </c>
      <c r="G616">
        <v>34.387779000000002</v>
      </c>
      <c r="H616">
        <v>-89.530555000000007</v>
      </c>
      <c r="I616">
        <v>1</v>
      </c>
      <c r="K616" t="s">
        <v>107</v>
      </c>
      <c r="L616">
        <v>1</v>
      </c>
      <c r="M616" t="s">
        <v>147</v>
      </c>
      <c r="N616" t="s">
        <v>91</v>
      </c>
      <c r="O616" t="s">
        <v>92</v>
      </c>
      <c r="S616" t="s">
        <v>93</v>
      </c>
      <c r="T616" t="s">
        <v>102</v>
      </c>
      <c r="U616" t="s">
        <v>119</v>
      </c>
    </row>
    <row r="617" spans="1:21" x14ac:dyDescent="0.3">
      <c r="A617" t="s">
        <v>1515</v>
      </c>
      <c r="B617" s="6" t="str">
        <f>HYPERLINK("http://data.ntsb.gov/carol-repgen/api/Aviation/ReportMain/GenerateNewestReport/99792/pdf","AccidentReport")</f>
        <v>AccidentReport</v>
      </c>
      <c r="C617" t="s">
        <v>1511</v>
      </c>
      <c r="D617" t="s">
        <v>1516</v>
      </c>
      <c r="E617" t="s">
        <v>138</v>
      </c>
      <c r="F617" t="s">
        <v>88</v>
      </c>
      <c r="G617">
        <v>43.546942999999999</v>
      </c>
      <c r="H617">
        <v>-83.894996000000006</v>
      </c>
      <c r="J617">
        <v>1</v>
      </c>
      <c r="K617" t="s">
        <v>99</v>
      </c>
      <c r="L617">
        <v>1</v>
      </c>
      <c r="M617" t="s">
        <v>90</v>
      </c>
      <c r="N617" t="s">
        <v>91</v>
      </c>
      <c r="O617" t="s">
        <v>92</v>
      </c>
      <c r="S617" t="s">
        <v>441</v>
      </c>
      <c r="T617" t="s">
        <v>102</v>
      </c>
      <c r="U617" t="s">
        <v>103</v>
      </c>
    </row>
    <row r="618" spans="1:21" x14ac:dyDescent="0.3">
      <c r="A618" t="s">
        <v>1517</v>
      </c>
      <c r="B618" s="6" t="str">
        <f>HYPERLINK("http://data.ntsb.gov/carol-repgen/api/Aviation/ReportMain/GenerateNewestReport/99826/pdf","AccidentReport")</f>
        <v>AccidentReport</v>
      </c>
      <c r="C618" t="s">
        <v>1511</v>
      </c>
      <c r="D618" t="s">
        <v>1518</v>
      </c>
      <c r="E618" t="s">
        <v>479</v>
      </c>
      <c r="F618" t="s">
        <v>88</v>
      </c>
      <c r="G618">
        <v>47.29</v>
      </c>
      <c r="H618">
        <v>-101.580833</v>
      </c>
      <c r="K618" t="s">
        <v>89</v>
      </c>
      <c r="L618">
        <v>1</v>
      </c>
      <c r="M618" t="s">
        <v>90</v>
      </c>
      <c r="N618" t="s">
        <v>91</v>
      </c>
      <c r="O618" t="s">
        <v>92</v>
      </c>
      <c r="S618" t="s">
        <v>418</v>
      </c>
      <c r="T618" t="s">
        <v>139</v>
      </c>
      <c r="U618" t="s">
        <v>248</v>
      </c>
    </row>
    <row r="619" spans="1:21" x14ac:dyDescent="0.3">
      <c r="A619" t="s">
        <v>1519</v>
      </c>
      <c r="B619" s="6" t="str">
        <f>HYPERLINK("http://data.ntsb.gov/carol-repgen/api/Aviation/ReportMain/GenerateNewestReport/99779/pdf","AccidentReport")</f>
        <v>AccidentReport</v>
      </c>
      <c r="C619" t="s">
        <v>1511</v>
      </c>
      <c r="D619" t="s">
        <v>1520</v>
      </c>
      <c r="E619" t="s">
        <v>233</v>
      </c>
      <c r="F619" t="s">
        <v>88</v>
      </c>
      <c r="G619">
        <v>59.443888999999999</v>
      </c>
      <c r="H619">
        <v>-151.70500100000001</v>
      </c>
      <c r="K619" t="s">
        <v>89</v>
      </c>
      <c r="L619">
        <v>1</v>
      </c>
      <c r="M619" t="s">
        <v>90</v>
      </c>
      <c r="N619" t="s">
        <v>91</v>
      </c>
      <c r="O619" t="s">
        <v>92</v>
      </c>
      <c r="S619" t="s">
        <v>108</v>
      </c>
      <c r="T619" t="s">
        <v>411</v>
      </c>
      <c r="U619" t="s">
        <v>248</v>
      </c>
    </row>
    <row r="620" spans="1:21" x14ac:dyDescent="0.3">
      <c r="A620" t="s">
        <v>1521</v>
      </c>
      <c r="B620" s="6" t="str">
        <f>HYPERLINK("http://data.ntsb.gov/carol-repgen/api/Aviation/ReportMain/GenerateNewestReport/99781/pdf","AccidentReport")</f>
        <v>AccidentReport</v>
      </c>
      <c r="C620" t="s">
        <v>1511</v>
      </c>
      <c r="D620" t="s">
        <v>1522</v>
      </c>
      <c r="E620" t="s">
        <v>154</v>
      </c>
      <c r="F620" t="s">
        <v>88</v>
      </c>
      <c r="G620">
        <v>33.641387000000002</v>
      </c>
      <c r="H620">
        <v>-95.454443999999995</v>
      </c>
      <c r="K620" t="s">
        <v>89</v>
      </c>
      <c r="L620">
        <v>1</v>
      </c>
      <c r="M620" t="s">
        <v>90</v>
      </c>
      <c r="N620" t="s">
        <v>91</v>
      </c>
      <c r="O620" t="s">
        <v>92</v>
      </c>
      <c r="S620" t="s">
        <v>93</v>
      </c>
      <c r="T620" t="s">
        <v>102</v>
      </c>
      <c r="U620" t="s">
        <v>248</v>
      </c>
    </row>
    <row r="621" spans="1:21" x14ac:dyDescent="0.3">
      <c r="A621" t="s">
        <v>1523</v>
      </c>
      <c r="B621" s="6" t="str">
        <f>HYPERLINK("http://data.ntsb.gov/carol-repgen/api/Aviation/ReportMain/GenerateNewestReport/99802/pdf","AccidentReport")</f>
        <v>AccidentReport</v>
      </c>
      <c r="C621" t="s">
        <v>1511</v>
      </c>
      <c r="D621" t="s">
        <v>1524</v>
      </c>
      <c r="E621" t="s">
        <v>176</v>
      </c>
      <c r="F621" t="s">
        <v>88</v>
      </c>
      <c r="G621">
        <v>48.498610999999997</v>
      </c>
      <c r="H621">
        <v>-122.662498</v>
      </c>
      <c r="K621" t="s">
        <v>89</v>
      </c>
      <c r="L621">
        <v>1</v>
      </c>
      <c r="M621" t="s">
        <v>90</v>
      </c>
      <c r="N621" t="s">
        <v>91</v>
      </c>
      <c r="O621" t="s">
        <v>92</v>
      </c>
      <c r="S621" t="s">
        <v>418</v>
      </c>
      <c r="T621" t="s">
        <v>94</v>
      </c>
      <c r="U621" t="s">
        <v>95</v>
      </c>
    </row>
    <row r="622" spans="1:21" x14ac:dyDescent="0.3">
      <c r="A622" t="s">
        <v>1525</v>
      </c>
      <c r="B622" s="6" t="str">
        <f>HYPERLINK("http://data.ntsb.gov/carol-repgen/api/Aviation/ReportMain/GenerateNewestReport/99812/pdf","AccidentReport")</f>
        <v>AccidentReport</v>
      </c>
      <c r="C622" t="s">
        <v>1526</v>
      </c>
      <c r="D622" t="s">
        <v>1527</v>
      </c>
      <c r="E622" t="s">
        <v>98</v>
      </c>
      <c r="F622" t="s">
        <v>88</v>
      </c>
      <c r="G622">
        <v>27.266666000000001</v>
      </c>
      <c r="H622">
        <v>-80.850279999999998</v>
      </c>
      <c r="K622" t="s">
        <v>89</v>
      </c>
      <c r="L622">
        <v>1</v>
      </c>
      <c r="M622" t="s">
        <v>90</v>
      </c>
      <c r="N622" t="s">
        <v>91</v>
      </c>
      <c r="O622" t="s">
        <v>92</v>
      </c>
      <c r="S622" t="s">
        <v>108</v>
      </c>
      <c r="T622" t="s">
        <v>94</v>
      </c>
      <c r="U622" t="s">
        <v>95</v>
      </c>
    </row>
    <row r="623" spans="1:21" x14ac:dyDescent="0.3">
      <c r="A623" t="s">
        <v>1528</v>
      </c>
      <c r="B623" s="6" t="str">
        <f>HYPERLINK("http://data.ntsb.gov/carol-repgen/api/Aviation/ReportMain/GenerateNewestReport/99788/pdf","AccidentReport")</f>
        <v>AccidentReport</v>
      </c>
      <c r="C623" t="s">
        <v>1526</v>
      </c>
      <c r="D623" t="s">
        <v>1529</v>
      </c>
      <c r="E623" t="s">
        <v>349</v>
      </c>
      <c r="F623" t="s">
        <v>88</v>
      </c>
      <c r="G623">
        <v>40.048889000000003</v>
      </c>
      <c r="H623">
        <v>-86.157775000000001</v>
      </c>
      <c r="K623" t="s">
        <v>89</v>
      </c>
      <c r="L623">
        <v>1</v>
      </c>
      <c r="M623" t="s">
        <v>90</v>
      </c>
      <c r="N623" t="s">
        <v>309</v>
      </c>
      <c r="O623" t="s">
        <v>92</v>
      </c>
      <c r="S623" t="s">
        <v>108</v>
      </c>
      <c r="T623" t="s">
        <v>109</v>
      </c>
      <c r="U623" t="s">
        <v>95</v>
      </c>
    </row>
    <row r="624" spans="1:21" x14ac:dyDescent="0.3">
      <c r="A624" t="s">
        <v>1530</v>
      </c>
      <c r="B624" s="6" t="str">
        <f>HYPERLINK("http://data.ntsb.gov/carol-repgen/api/Aviation/ReportMain/GenerateNewestReport/99813/pdf","AccidentReport")</f>
        <v>AccidentReport</v>
      </c>
      <c r="C624" t="s">
        <v>1531</v>
      </c>
      <c r="D624" t="s">
        <v>1532</v>
      </c>
      <c r="E624" t="s">
        <v>251</v>
      </c>
      <c r="F624" t="s">
        <v>88</v>
      </c>
      <c r="G624">
        <v>44.580275999999998</v>
      </c>
      <c r="H624">
        <v>-124.058052</v>
      </c>
      <c r="J624">
        <v>1</v>
      </c>
      <c r="K624" t="s">
        <v>99</v>
      </c>
      <c r="L624">
        <v>1</v>
      </c>
      <c r="M624" t="s">
        <v>90</v>
      </c>
      <c r="N624" t="s">
        <v>91</v>
      </c>
      <c r="O624" t="s">
        <v>92</v>
      </c>
      <c r="S624" t="s">
        <v>108</v>
      </c>
      <c r="T624" t="s">
        <v>118</v>
      </c>
      <c r="U624" t="s">
        <v>186</v>
      </c>
    </row>
    <row r="625" spans="1:21" x14ac:dyDescent="0.3">
      <c r="A625" t="s">
        <v>1533</v>
      </c>
      <c r="B625" s="6" t="str">
        <f>HYPERLINK("http://data.ntsb.gov/carol-repgen/api/Aviation/ReportMain/GenerateNewestReport/99810/pdf","AccidentReport")</f>
        <v>AccidentReport</v>
      </c>
      <c r="C625" t="s">
        <v>1531</v>
      </c>
      <c r="D625" t="s">
        <v>1534</v>
      </c>
      <c r="E625" t="s">
        <v>360</v>
      </c>
      <c r="F625" t="s">
        <v>88</v>
      </c>
      <c r="G625">
        <v>41.868609999999997</v>
      </c>
      <c r="H625">
        <v>-88.579718999999997</v>
      </c>
      <c r="I625">
        <v>0</v>
      </c>
      <c r="J625">
        <v>0</v>
      </c>
      <c r="K625" t="s">
        <v>155</v>
      </c>
      <c r="L625">
        <v>1</v>
      </c>
      <c r="M625" t="s">
        <v>90</v>
      </c>
      <c r="N625" t="s">
        <v>91</v>
      </c>
      <c r="O625" t="s">
        <v>92</v>
      </c>
      <c r="S625" t="s">
        <v>108</v>
      </c>
      <c r="T625" t="s">
        <v>118</v>
      </c>
      <c r="U625" t="s">
        <v>186</v>
      </c>
    </row>
    <row r="626" spans="1:21" x14ac:dyDescent="0.3">
      <c r="A626" t="s">
        <v>1535</v>
      </c>
      <c r="B626" s="6" t="str">
        <f>HYPERLINK("http://data.ntsb.gov/carol-repgen/api/Aviation/ReportMain/GenerateNewestReport/99811/pdf","AccidentReport")</f>
        <v>AccidentReport</v>
      </c>
      <c r="C626" t="s">
        <v>1531</v>
      </c>
      <c r="D626" t="s">
        <v>1536</v>
      </c>
      <c r="E626" t="s">
        <v>154</v>
      </c>
      <c r="F626" t="s">
        <v>88</v>
      </c>
      <c r="G626">
        <v>31.834999</v>
      </c>
      <c r="H626">
        <v>-100.686668</v>
      </c>
      <c r="K626" t="s">
        <v>89</v>
      </c>
      <c r="L626">
        <v>1</v>
      </c>
      <c r="M626" t="s">
        <v>90</v>
      </c>
      <c r="N626" t="s">
        <v>100</v>
      </c>
      <c r="O626" t="s">
        <v>92</v>
      </c>
      <c r="S626" t="s">
        <v>101</v>
      </c>
      <c r="T626" t="s">
        <v>442</v>
      </c>
      <c r="U626" t="s">
        <v>186</v>
      </c>
    </row>
    <row r="627" spans="1:21" x14ac:dyDescent="0.3">
      <c r="A627" t="s">
        <v>1537</v>
      </c>
      <c r="B627" s="6" t="str">
        <f>HYPERLINK("http://data.ntsb.gov/carol-repgen/api/Aviation/ReportMain/GenerateNewestReport/99789/pdf","AccidentReport")</f>
        <v>AccidentReport</v>
      </c>
      <c r="C627" t="s">
        <v>1531</v>
      </c>
      <c r="D627" t="s">
        <v>1538</v>
      </c>
      <c r="E627" t="s">
        <v>260</v>
      </c>
      <c r="F627" t="s">
        <v>88</v>
      </c>
      <c r="G627">
        <v>36.681109999999997</v>
      </c>
      <c r="H627">
        <v>-86.631111000000004</v>
      </c>
      <c r="K627" t="s">
        <v>155</v>
      </c>
      <c r="L627">
        <v>1</v>
      </c>
      <c r="M627" t="s">
        <v>90</v>
      </c>
      <c r="N627" t="s">
        <v>100</v>
      </c>
      <c r="O627" t="s">
        <v>169</v>
      </c>
      <c r="S627" t="s">
        <v>515</v>
      </c>
      <c r="T627" t="s">
        <v>442</v>
      </c>
      <c r="U627" t="s">
        <v>103</v>
      </c>
    </row>
    <row r="628" spans="1:21" x14ac:dyDescent="0.3">
      <c r="A628" t="s">
        <v>1539</v>
      </c>
      <c r="B628" s="6" t="str">
        <f>HYPERLINK("http://data.ntsb.gov/carol-repgen/api/Aviation/ReportMain/GenerateNewestReport/99799/pdf","AccidentReport")</f>
        <v>AccidentReport</v>
      </c>
      <c r="C628" t="s">
        <v>1540</v>
      </c>
      <c r="D628" t="s">
        <v>1541</v>
      </c>
      <c r="E628" t="s">
        <v>485</v>
      </c>
      <c r="F628" t="s">
        <v>88</v>
      </c>
      <c r="G628">
        <v>41.101387000000003</v>
      </c>
      <c r="H628">
        <v>-102.985275</v>
      </c>
      <c r="K628" t="s">
        <v>89</v>
      </c>
      <c r="L628">
        <v>1</v>
      </c>
      <c r="M628" t="s">
        <v>90</v>
      </c>
      <c r="N628" t="s">
        <v>91</v>
      </c>
      <c r="O628" t="s">
        <v>92</v>
      </c>
      <c r="S628" t="s">
        <v>166</v>
      </c>
      <c r="T628" t="s">
        <v>587</v>
      </c>
      <c r="U628" t="s">
        <v>248</v>
      </c>
    </row>
    <row r="629" spans="1:21" x14ac:dyDescent="0.3">
      <c r="A629" t="s">
        <v>1542</v>
      </c>
      <c r="B629" s="6" t="str">
        <f>HYPERLINK("http://data.ntsb.gov/carol-repgen/api/Aviation/ReportMain/GenerateNewestReport/99877/pdf","AccidentReport")</f>
        <v>AccidentReport</v>
      </c>
      <c r="C629" t="s">
        <v>1540</v>
      </c>
      <c r="D629" t="s">
        <v>864</v>
      </c>
      <c r="E629" t="s">
        <v>233</v>
      </c>
      <c r="F629" t="s">
        <v>88</v>
      </c>
      <c r="G629">
        <v>61.616942999999999</v>
      </c>
      <c r="H629">
        <v>-149.32167000000001</v>
      </c>
      <c r="K629" t="s">
        <v>89</v>
      </c>
      <c r="L629">
        <v>1</v>
      </c>
      <c r="M629" t="s">
        <v>90</v>
      </c>
      <c r="N629" t="s">
        <v>91</v>
      </c>
      <c r="O629" t="s">
        <v>92</v>
      </c>
      <c r="S629" t="s">
        <v>108</v>
      </c>
      <c r="T629" t="s">
        <v>102</v>
      </c>
      <c r="U629" t="s">
        <v>95</v>
      </c>
    </row>
    <row r="630" spans="1:21" x14ac:dyDescent="0.3">
      <c r="A630" t="s">
        <v>1543</v>
      </c>
      <c r="B630" s="6" t="str">
        <f>HYPERLINK("http://data.ntsb.gov/carol-repgen/api/Aviation/ReportMain/GenerateNewestReport/99886/pdf","AccidentReport")</f>
        <v>AccidentReport</v>
      </c>
      <c r="C630" t="s">
        <v>1540</v>
      </c>
      <c r="D630" t="s">
        <v>1544</v>
      </c>
      <c r="E630" t="s">
        <v>142</v>
      </c>
      <c r="F630" t="s">
        <v>88</v>
      </c>
      <c r="G630">
        <v>41.318610999999997</v>
      </c>
      <c r="H630">
        <v>-81.960555999999997</v>
      </c>
      <c r="K630" t="s">
        <v>89</v>
      </c>
      <c r="L630">
        <v>1</v>
      </c>
      <c r="M630" t="s">
        <v>90</v>
      </c>
      <c r="N630" t="s">
        <v>91</v>
      </c>
      <c r="O630" t="s">
        <v>92</v>
      </c>
      <c r="S630" t="s">
        <v>93</v>
      </c>
      <c r="T630" t="s">
        <v>94</v>
      </c>
      <c r="U630" t="s">
        <v>248</v>
      </c>
    </row>
    <row r="631" spans="1:21" x14ac:dyDescent="0.3">
      <c r="A631" t="s">
        <v>1545</v>
      </c>
      <c r="B631" s="6" t="str">
        <f>HYPERLINK("http://data.ntsb.gov/carol-repgen/api/Aviation/ReportMain/GenerateNewestReport/99984/pdf","AccidentReport")</f>
        <v>AccidentReport</v>
      </c>
      <c r="C631" t="s">
        <v>1540</v>
      </c>
      <c r="D631" t="s">
        <v>1546</v>
      </c>
      <c r="E631" t="s">
        <v>251</v>
      </c>
      <c r="F631" t="s">
        <v>88</v>
      </c>
      <c r="G631">
        <v>42.309558000000003</v>
      </c>
      <c r="H631">
        <v>-122.07096799999999</v>
      </c>
      <c r="K631" t="s">
        <v>89</v>
      </c>
      <c r="L631">
        <v>1</v>
      </c>
      <c r="M631" t="s">
        <v>90</v>
      </c>
      <c r="N631" t="s">
        <v>91</v>
      </c>
      <c r="O631" t="s">
        <v>92</v>
      </c>
      <c r="S631" t="s">
        <v>108</v>
      </c>
      <c r="T631" t="s">
        <v>159</v>
      </c>
      <c r="U631" t="s">
        <v>248</v>
      </c>
    </row>
    <row r="632" spans="1:21" x14ac:dyDescent="0.3">
      <c r="A632" t="s">
        <v>1547</v>
      </c>
      <c r="B632" s="6" t="str">
        <f>HYPERLINK("http://data.ntsb.gov/carol-repgen/api/Aviation/ReportMain/GenerateNewestReport/99821/pdf","AccidentReport")</f>
        <v>AccidentReport</v>
      </c>
      <c r="C632" t="s">
        <v>1548</v>
      </c>
      <c r="D632" t="s">
        <v>1549</v>
      </c>
      <c r="E632" t="s">
        <v>138</v>
      </c>
      <c r="F632" t="s">
        <v>88</v>
      </c>
      <c r="G632">
        <v>42.239165999999997</v>
      </c>
      <c r="H632">
        <v>-83.532500999999996</v>
      </c>
      <c r="K632" t="s">
        <v>155</v>
      </c>
      <c r="L632">
        <v>1</v>
      </c>
      <c r="M632" t="s">
        <v>90</v>
      </c>
      <c r="N632" t="s">
        <v>91</v>
      </c>
      <c r="O632" t="s">
        <v>92</v>
      </c>
      <c r="S632" t="s">
        <v>93</v>
      </c>
      <c r="T632" t="s">
        <v>109</v>
      </c>
      <c r="U632" t="s">
        <v>248</v>
      </c>
    </row>
    <row r="633" spans="1:21" x14ac:dyDescent="0.3">
      <c r="A633" t="s">
        <v>1550</v>
      </c>
      <c r="B633" s="6" t="str">
        <f>HYPERLINK("http://data.ntsb.gov/carol-repgen/api/Aviation/ReportMain/GenerateNewestReport/99814/pdf","AccidentReport")</f>
        <v>AccidentReport</v>
      </c>
      <c r="C633" t="s">
        <v>1548</v>
      </c>
      <c r="D633" t="s">
        <v>1551</v>
      </c>
      <c r="E633" t="s">
        <v>265</v>
      </c>
      <c r="F633" t="s">
        <v>88</v>
      </c>
      <c r="G633">
        <v>37.186942999999999</v>
      </c>
      <c r="H633">
        <v>-77.503333999999995</v>
      </c>
      <c r="K633" t="s">
        <v>89</v>
      </c>
      <c r="L633">
        <v>1</v>
      </c>
      <c r="M633" t="s">
        <v>90</v>
      </c>
      <c r="N633" t="s">
        <v>91</v>
      </c>
      <c r="O633" t="s">
        <v>92</v>
      </c>
      <c r="S633" t="s">
        <v>108</v>
      </c>
      <c r="T633" t="s">
        <v>109</v>
      </c>
      <c r="U633" t="s">
        <v>95</v>
      </c>
    </row>
    <row r="634" spans="1:21" x14ac:dyDescent="0.3">
      <c r="A634" t="s">
        <v>1552</v>
      </c>
      <c r="B634" s="6" t="str">
        <f>HYPERLINK("http://data.ntsb.gov/carol-repgen/api/Aviation/ReportMain/GenerateNewestReport/99817/pdf","AccidentReport")</f>
        <v>AccidentReport</v>
      </c>
      <c r="C634" t="s">
        <v>1548</v>
      </c>
      <c r="D634" t="s">
        <v>1553</v>
      </c>
      <c r="E634" t="s">
        <v>408</v>
      </c>
      <c r="F634" t="s">
        <v>88</v>
      </c>
      <c r="G634">
        <v>41.393332999999998</v>
      </c>
      <c r="H634">
        <v>-70.613890999999995</v>
      </c>
      <c r="K634" t="s">
        <v>89</v>
      </c>
      <c r="L634">
        <v>1</v>
      </c>
      <c r="M634" t="s">
        <v>90</v>
      </c>
      <c r="N634" t="s">
        <v>91</v>
      </c>
      <c r="O634" t="s">
        <v>92</v>
      </c>
      <c r="S634" t="s">
        <v>108</v>
      </c>
      <c r="T634" t="s">
        <v>321</v>
      </c>
      <c r="U634" t="s">
        <v>119</v>
      </c>
    </row>
    <row r="635" spans="1:21" x14ac:dyDescent="0.3">
      <c r="A635" t="s">
        <v>1554</v>
      </c>
      <c r="B635" s="6" t="str">
        <f>HYPERLINK("http://data.ntsb.gov/carol-repgen/api/Aviation/ReportMain/GenerateNewestReport/99820/pdf","AccidentReport")</f>
        <v>AccidentReport</v>
      </c>
      <c r="C635" t="s">
        <v>1548</v>
      </c>
      <c r="D635" t="s">
        <v>1555</v>
      </c>
      <c r="F635" t="s">
        <v>88</v>
      </c>
      <c r="G635">
        <v>15.123888000000001</v>
      </c>
      <c r="H635">
        <v>145.73138399999999</v>
      </c>
      <c r="K635" t="s">
        <v>89</v>
      </c>
      <c r="L635">
        <v>1</v>
      </c>
      <c r="M635" t="s">
        <v>90</v>
      </c>
      <c r="N635" t="s">
        <v>91</v>
      </c>
      <c r="O635" t="s">
        <v>92</v>
      </c>
      <c r="S635" t="s">
        <v>101</v>
      </c>
      <c r="T635" t="s">
        <v>94</v>
      </c>
      <c r="U635" t="s">
        <v>221</v>
      </c>
    </row>
    <row r="636" spans="1:21" x14ac:dyDescent="0.3">
      <c r="A636" t="s">
        <v>1556</v>
      </c>
      <c r="B636" s="6" t="str">
        <f>HYPERLINK("http://data.ntsb.gov/carol-repgen/api/Aviation/ReportMain/GenerateNewestReport/99966/pdf","AccidentReport")</f>
        <v>AccidentReport</v>
      </c>
      <c r="C636" t="s">
        <v>1548</v>
      </c>
      <c r="D636" t="s">
        <v>648</v>
      </c>
      <c r="E636" t="s">
        <v>98</v>
      </c>
      <c r="F636" t="s">
        <v>88</v>
      </c>
      <c r="G636">
        <v>29.658332000000001</v>
      </c>
      <c r="H636">
        <v>-81.689445000000006</v>
      </c>
      <c r="K636" t="s">
        <v>89</v>
      </c>
      <c r="L636">
        <v>1</v>
      </c>
      <c r="M636" t="s">
        <v>90</v>
      </c>
      <c r="N636" t="s">
        <v>91</v>
      </c>
      <c r="O636" t="s">
        <v>92</v>
      </c>
      <c r="S636" t="s">
        <v>93</v>
      </c>
      <c r="T636" t="s">
        <v>109</v>
      </c>
      <c r="U636" t="s">
        <v>95</v>
      </c>
    </row>
    <row r="637" spans="1:21" x14ac:dyDescent="0.3">
      <c r="A637" t="s">
        <v>1557</v>
      </c>
      <c r="B637" s="6" t="str">
        <f>HYPERLINK("http://data.ntsb.gov/carol-repgen/api/Aviation/ReportMain/GenerateNewestReport/99825/pdf","AccidentReport")</f>
        <v>AccidentReport</v>
      </c>
      <c r="C637" t="s">
        <v>1558</v>
      </c>
      <c r="D637" t="s">
        <v>1559</v>
      </c>
      <c r="E637" t="s">
        <v>233</v>
      </c>
      <c r="F637" t="s">
        <v>88</v>
      </c>
      <c r="G637">
        <v>55.301070000000003</v>
      </c>
      <c r="H637">
        <v>-131.65201999999999</v>
      </c>
      <c r="I637">
        <v>1</v>
      </c>
      <c r="K637" t="s">
        <v>107</v>
      </c>
      <c r="L637">
        <v>1</v>
      </c>
      <c r="M637" t="s">
        <v>90</v>
      </c>
      <c r="N637" t="s">
        <v>91</v>
      </c>
      <c r="O637" t="s">
        <v>92</v>
      </c>
      <c r="S637" t="s">
        <v>108</v>
      </c>
      <c r="T637" t="s">
        <v>102</v>
      </c>
      <c r="U637" t="s">
        <v>103</v>
      </c>
    </row>
    <row r="638" spans="1:21" x14ac:dyDescent="0.3">
      <c r="A638" t="s">
        <v>1560</v>
      </c>
      <c r="B638" s="6" t="str">
        <f>HYPERLINK("http://data.ntsb.gov/carol-repgen/api/Aviation/ReportMain/GenerateNewestReport/99822/pdf","AccidentReport")</f>
        <v>AccidentReport</v>
      </c>
      <c r="C638" t="s">
        <v>1558</v>
      </c>
      <c r="D638" t="s">
        <v>1561</v>
      </c>
      <c r="E638" t="s">
        <v>87</v>
      </c>
      <c r="F638" t="s">
        <v>88</v>
      </c>
      <c r="G638">
        <v>46</v>
      </c>
      <c r="H638">
        <v>-96</v>
      </c>
      <c r="I638">
        <v>1</v>
      </c>
      <c r="K638" t="s">
        <v>107</v>
      </c>
      <c r="L638">
        <v>1</v>
      </c>
      <c r="M638" t="s">
        <v>147</v>
      </c>
      <c r="N638" t="s">
        <v>862</v>
      </c>
      <c r="O638" t="s">
        <v>92</v>
      </c>
      <c r="S638" t="s">
        <v>108</v>
      </c>
      <c r="T638" t="s">
        <v>102</v>
      </c>
      <c r="U638" t="s">
        <v>103</v>
      </c>
    </row>
    <row r="639" spans="1:21" x14ac:dyDescent="0.3">
      <c r="A639" t="s">
        <v>1562</v>
      </c>
      <c r="B639" s="6" t="str">
        <f>HYPERLINK("http://data.ntsb.gov/carol-repgen/api/Aviation/ReportMain/GenerateNewestReport/99827/pdf","AccidentReport")</f>
        <v>AccidentReport</v>
      </c>
      <c r="C639" t="s">
        <v>1558</v>
      </c>
      <c r="D639" t="s">
        <v>1563</v>
      </c>
      <c r="E639" t="s">
        <v>360</v>
      </c>
      <c r="F639" t="s">
        <v>88</v>
      </c>
      <c r="G639">
        <v>42.134723000000001</v>
      </c>
      <c r="H639">
        <v>-87.891670000000005</v>
      </c>
      <c r="K639" t="s">
        <v>89</v>
      </c>
      <c r="L639">
        <v>1</v>
      </c>
      <c r="M639" t="s">
        <v>90</v>
      </c>
      <c r="N639" t="s">
        <v>91</v>
      </c>
      <c r="O639" t="s">
        <v>92</v>
      </c>
      <c r="S639" t="s">
        <v>108</v>
      </c>
      <c r="T639" t="s">
        <v>118</v>
      </c>
      <c r="U639" t="s">
        <v>119</v>
      </c>
    </row>
    <row r="640" spans="1:21" x14ac:dyDescent="0.3">
      <c r="A640" t="s">
        <v>1564</v>
      </c>
      <c r="B640" s="6" t="str">
        <f>HYPERLINK("http://data.ntsb.gov/carol-repgen/api/Aviation/ReportMain/GenerateNewestReport/99818/pdf","AccidentReport")</f>
        <v>AccidentReport</v>
      </c>
      <c r="C640" t="s">
        <v>1558</v>
      </c>
      <c r="D640" t="s">
        <v>565</v>
      </c>
      <c r="E640" t="s">
        <v>233</v>
      </c>
      <c r="F640" t="s">
        <v>88</v>
      </c>
      <c r="G640">
        <v>62.319442000000002</v>
      </c>
      <c r="H640">
        <v>-150.113327</v>
      </c>
      <c r="K640" t="s">
        <v>89</v>
      </c>
      <c r="L640">
        <v>1</v>
      </c>
      <c r="M640" t="s">
        <v>90</v>
      </c>
      <c r="N640" t="s">
        <v>91</v>
      </c>
      <c r="O640" t="s">
        <v>92</v>
      </c>
      <c r="S640" t="s">
        <v>108</v>
      </c>
      <c r="T640" t="s">
        <v>442</v>
      </c>
      <c r="U640" t="s">
        <v>95</v>
      </c>
    </row>
    <row r="641" spans="1:21" x14ac:dyDescent="0.3">
      <c r="A641" t="s">
        <v>1565</v>
      </c>
      <c r="B641" s="6" t="str">
        <f>HYPERLINK("http://data.ntsb.gov/carol-repgen/api/Aviation/ReportMain/GenerateNewestReport/99824/pdf","AccidentReport")</f>
        <v>AccidentReport</v>
      </c>
      <c r="C641" t="s">
        <v>1558</v>
      </c>
      <c r="D641" t="s">
        <v>844</v>
      </c>
      <c r="E641" t="s">
        <v>457</v>
      </c>
      <c r="F641" t="s">
        <v>88</v>
      </c>
      <c r="G641">
        <v>38.400554</v>
      </c>
      <c r="H641">
        <v>-93.332496000000006</v>
      </c>
      <c r="K641" t="s">
        <v>89</v>
      </c>
      <c r="L641">
        <v>1</v>
      </c>
      <c r="M641" t="s">
        <v>90</v>
      </c>
      <c r="N641" t="s">
        <v>91</v>
      </c>
      <c r="O641" t="s">
        <v>92</v>
      </c>
      <c r="S641" t="s">
        <v>108</v>
      </c>
      <c r="T641" t="s">
        <v>102</v>
      </c>
      <c r="U641" t="s">
        <v>95</v>
      </c>
    </row>
    <row r="642" spans="1:21" x14ac:dyDescent="0.3">
      <c r="A642" t="s">
        <v>1566</v>
      </c>
      <c r="B642" s="6" t="str">
        <f>HYPERLINK("http://data.ntsb.gov/carol-repgen/api/Aviation/ReportMain/GenerateNewestReport/99991/pdf","AccidentReport")</f>
        <v>AccidentReport</v>
      </c>
      <c r="C642" t="s">
        <v>1558</v>
      </c>
      <c r="D642" t="s">
        <v>1567</v>
      </c>
      <c r="F642" t="s">
        <v>1568</v>
      </c>
      <c r="G642">
        <v>7.127777</v>
      </c>
      <c r="H642">
        <v>-73.184721999999994</v>
      </c>
      <c r="K642" t="s">
        <v>89</v>
      </c>
      <c r="L642">
        <v>1</v>
      </c>
      <c r="M642" t="s">
        <v>90</v>
      </c>
      <c r="N642" t="s">
        <v>91</v>
      </c>
      <c r="O642" t="s">
        <v>240</v>
      </c>
      <c r="T642" t="s">
        <v>109</v>
      </c>
      <c r="U642" t="s">
        <v>95</v>
      </c>
    </row>
    <row r="643" spans="1:21" x14ac:dyDescent="0.3">
      <c r="A643" t="s">
        <v>1569</v>
      </c>
      <c r="B643" s="6" t="str">
        <f>HYPERLINK("http://data.ntsb.gov/carol-repgen/api/Aviation/ReportMain/GenerateNewestReport/99828/pdf","AccidentReport")</f>
        <v>AccidentReport</v>
      </c>
      <c r="C643" t="s">
        <v>1570</v>
      </c>
      <c r="D643" t="s">
        <v>1571</v>
      </c>
      <c r="E643" t="s">
        <v>112</v>
      </c>
      <c r="F643" t="s">
        <v>88</v>
      </c>
      <c r="G643">
        <v>46.251387999999999</v>
      </c>
      <c r="H643">
        <v>-114.125556</v>
      </c>
      <c r="K643" t="s">
        <v>155</v>
      </c>
      <c r="L643">
        <v>1</v>
      </c>
      <c r="M643" t="s">
        <v>90</v>
      </c>
      <c r="N643" t="s">
        <v>91</v>
      </c>
      <c r="O643" t="s">
        <v>92</v>
      </c>
      <c r="S643" t="s">
        <v>108</v>
      </c>
      <c r="T643" t="s">
        <v>94</v>
      </c>
      <c r="U643" t="s">
        <v>95</v>
      </c>
    </row>
    <row r="644" spans="1:21" x14ac:dyDescent="0.3">
      <c r="A644" t="s">
        <v>1572</v>
      </c>
      <c r="B644" s="6" t="str">
        <f>HYPERLINK("http://data.ntsb.gov/carol-repgen/api/Aviation/ReportMain/GenerateNewestReport/99967/pdf","AccidentReport")</f>
        <v>AccidentReport</v>
      </c>
      <c r="C644" t="s">
        <v>1570</v>
      </c>
      <c r="D644" t="s">
        <v>482</v>
      </c>
      <c r="E644" t="s">
        <v>98</v>
      </c>
      <c r="F644" t="s">
        <v>88</v>
      </c>
      <c r="G644">
        <v>28.546112000000001</v>
      </c>
      <c r="H644">
        <v>-81.332221000000004</v>
      </c>
      <c r="K644" t="s">
        <v>89</v>
      </c>
      <c r="L644">
        <v>1</v>
      </c>
      <c r="M644" t="s">
        <v>90</v>
      </c>
      <c r="N644" t="s">
        <v>91</v>
      </c>
      <c r="O644" t="s">
        <v>92</v>
      </c>
      <c r="S644" t="s">
        <v>108</v>
      </c>
      <c r="T644" t="s">
        <v>542</v>
      </c>
      <c r="U644" t="s">
        <v>119</v>
      </c>
    </row>
    <row r="645" spans="1:21" x14ac:dyDescent="0.3">
      <c r="A645" t="s">
        <v>1573</v>
      </c>
      <c r="B645" s="6" t="str">
        <f>HYPERLINK("http://data.ntsb.gov/carol-repgen/api/Aviation/ReportMain/GenerateNewestReport/99830/pdf","AccidentReport")</f>
        <v>AccidentReport</v>
      </c>
      <c r="C645" t="s">
        <v>1574</v>
      </c>
      <c r="D645" t="s">
        <v>298</v>
      </c>
      <c r="E645" t="s">
        <v>154</v>
      </c>
      <c r="F645" t="s">
        <v>88</v>
      </c>
      <c r="G645">
        <v>29.774723000000002</v>
      </c>
      <c r="H645">
        <v>-95.721946000000003</v>
      </c>
      <c r="I645">
        <v>1</v>
      </c>
      <c r="K645" t="s">
        <v>107</v>
      </c>
      <c r="L645">
        <v>1</v>
      </c>
      <c r="M645" t="s">
        <v>147</v>
      </c>
      <c r="N645" t="s">
        <v>91</v>
      </c>
      <c r="O645" t="s">
        <v>92</v>
      </c>
      <c r="S645" t="s">
        <v>108</v>
      </c>
      <c r="T645" t="s">
        <v>381</v>
      </c>
      <c r="U645" t="s">
        <v>186</v>
      </c>
    </row>
    <row r="646" spans="1:21" x14ac:dyDescent="0.3">
      <c r="A646" t="s">
        <v>1575</v>
      </c>
      <c r="B646" s="6" t="str">
        <f>HYPERLINK("http://data.ntsb.gov/carol-repgen/api/Aviation/ReportMain/GenerateNewestReport/99832/pdf","AccidentReport")</f>
        <v>AccidentReport</v>
      </c>
      <c r="C646" t="s">
        <v>1574</v>
      </c>
      <c r="D646" t="s">
        <v>1576</v>
      </c>
      <c r="E646" t="s">
        <v>613</v>
      </c>
      <c r="F646" t="s">
        <v>88</v>
      </c>
      <c r="G646">
        <v>35.599165999999997</v>
      </c>
      <c r="H646">
        <v>-92.456665000000001</v>
      </c>
      <c r="J646">
        <v>2</v>
      </c>
      <c r="K646" t="s">
        <v>99</v>
      </c>
      <c r="L646">
        <v>1</v>
      </c>
      <c r="M646" t="s">
        <v>90</v>
      </c>
      <c r="N646" t="s">
        <v>91</v>
      </c>
      <c r="O646" t="s">
        <v>92</v>
      </c>
      <c r="S646" t="s">
        <v>108</v>
      </c>
      <c r="T646" t="s">
        <v>159</v>
      </c>
      <c r="U646" t="s">
        <v>248</v>
      </c>
    </row>
    <row r="647" spans="1:21" x14ac:dyDescent="0.3">
      <c r="A647" t="s">
        <v>1577</v>
      </c>
      <c r="B647" s="6" t="str">
        <f>HYPERLINK("http://data.ntsb.gov/carol-repgen/api/Aviation/ReportMain/GenerateNewestReport/99831/pdf","AccidentReport")</f>
        <v>AccidentReport</v>
      </c>
      <c r="C647" t="s">
        <v>1574</v>
      </c>
      <c r="D647" t="s">
        <v>1578</v>
      </c>
      <c r="E647" t="s">
        <v>146</v>
      </c>
      <c r="F647" t="s">
        <v>88</v>
      </c>
      <c r="G647">
        <v>36.040554</v>
      </c>
      <c r="H647">
        <v>-84.306113999999994</v>
      </c>
      <c r="I647">
        <v>1</v>
      </c>
      <c r="K647" t="s">
        <v>107</v>
      </c>
      <c r="L647">
        <v>1</v>
      </c>
      <c r="M647" t="s">
        <v>90</v>
      </c>
      <c r="N647" t="s">
        <v>91</v>
      </c>
      <c r="O647" t="s">
        <v>92</v>
      </c>
      <c r="S647" t="s">
        <v>108</v>
      </c>
      <c r="T647" t="s">
        <v>102</v>
      </c>
      <c r="U647" t="s">
        <v>150</v>
      </c>
    </row>
    <row r="648" spans="1:21" x14ac:dyDescent="0.3">
      <c r="A648" t="s">
        <v>1579</v>
      </c>
      <c r="B648" s="6" t="str">
        <f>HYPERLINK("http://data.ntsb.gov/carol-repgen/api/Aviation/ReportMain/GenerateNewestReport/99829/pdf","AccidentReport")</f>
        <v>AccidentReport</v>
      </c>
      <c r="C648" t="s">
        <v>1574</v>
      </c>
      <c r="D648" t="s">
        <v>1580</v>
      </c>
      <c r="E648" t="s">
        <v>117</v>
      </c>
      <c r="F648" t="s">
        <v>88</v>
      </c>
      <c r="G648">
        <v>40.187778000000002</v>
      </c>
      <c r="H648">
        <v>-77.169441000000006</v>
      </c>
      <c r="I648">
        <v>0</v>
      </c>
      <c r="J648">
        <v>0</v>
      </c>
      <c r="K648" t="s">
        <v>89</v>
      </c>
      <c r="L648">
        <v>1</v>
      </c>
      <c r="M648" t="s">
        <v>90</v>
      </c>
      <c r="N648" t="s">
        <v>91</v>
      </c>
      <c r="O648" t="s">
        <v>92</v>
      </c>
      <c r="S648" t="s">
        <v>108</v>
      </c>
      <c r="T648" t="s">
        <v>118</v>
      </c>
      <c r="U648" t="s">
        <v>150</v>
      </c>
    </row>
    <row r="649" spans="1:21" x14ac:dyDescent="0.3">
      <c r="A649" t="s">
        <v>1581</v>
      </c>
      <c r="B649" s="6" t="str">
        <f>HYPERLINK("http://data.ntsb.gov/carol-repgen/api/Aviation/ReportMain/GenerateNewestReport/99836/pdf","AccidentReport")</f>
        <v>AccidentReport</v>
      </c>
      <c r="C649" t="s">
        <v>1574</v>
      </c>
      <c r="D649" t="s">
        <v>1582</v>
      </c>
      <c r="E649" t="s">
        <v>402</v>
      </c>
      <c r="F649" t="s">
        <v>88</v>
      </c>
      <c r="G649">
        <v>33.935831999999998</v>
      </c>
      <c r="H649">
        <v>-81.430830999999998</v>
      </c>
      <c r="K649" t="s">
        <v>89</v>
      </c>
      <c r="L649">
        <v>1</v>
      </c>
      <c r="M649" t="s">
        <v>90</v>
      </c>
      <c r="N649" t="s">
        <v>91</v>
      </c>
      <c r="O649" t="s">
        <v>92</v>
      </c>
      <c r="S649" t="s">
        <v>108</v>
      </c>
      <c r="T649" t="s">
        <v>159</v>
      </c>
      <c r="U649" t="s">
        <v>150</v>
      </c>
    </row>
    <row r="650" spans="1:21" x14ac:dyDescent="0.3">
      <c r="A650" t="s">
        <v>1583</v>
      </c>
      <c r="B650" s="6" t="str">
        <f>HYPERLINK("http://data.ntsb.gov/carol-repgen/api/Aviation/ReportMain/GenerateNewestReport/99839/pdf","AccidentReport")</f>
        <v>AccidentReport</v>
      </c>
      <c r="C650" t="s">
        <v>1574</v>
      </c>
      <c r="D650" t="s">
        <v>756</v>
      </c>
      <c r="E650" t="s">
        <v>131</v>
      </c>
      <c r="F650" t="s">
        <v>88</v>
      </c>
      <c r="G650">
        <v>39.904997999999999</v>
      </c>
      <c r="H650">
        <v>-105.114166</v>
      </c>
      <c r="K650" t="s">
        <v>89</v>
      </c>
      <c r="L650">
        <v>1</v>
      </c>
      <c r="M650" t="s">
        <v>90</v>
      </c>
      <c r="N650" t="s">
        <v>91</v>
      </c>
      <c r="O650" t="s">
        <v>92</v>
      </c>
      <c r="S650" t="s">
        <v>93</v>
      </c>
      <c r="T650" t="s">
        <v>102</v>
      </c>
      <c r="U650" t="s">
        <v>119</v>
      </c>
    </row>
    <row r="651" spans="1:21" x14ac:dyDescent="0.3">
      <c r="A651" t="s">
        <v>1584</v>
      </c>
      <c r="B651" s="6" t="str">
        <f>HYPERLINK("http://data.ntsb.gov/carol-repgen/api/Aviation/ReportMain/GenerateNewestReport/99890/pdf","AccidentReport")</f>
        <v>AccidentReport</v>
      </c>
      <c r="C651" t="s">
        <v>1574</v>
      </c>
      <c r="D651" t="s">
        <v>1585</v>
      </c>
      <c r="E651" t="s">
        <v>112</v>
      </c>
      <c r="F651" t="s">
        <v>88</v>
      </c>
      <c r="G651">
        <v>47.040832000000002</v>
      </c>
      <c r="H651">
        <v>-107.660552</v>
      </c>
      <c r="J651">
        <v>2</v>
      </c>
      <c r="K651" t="s">
        <v>99</v>
      </c>
      <c r="L651">
        <v>1</v>
      </c>
      <c r="M651" t="s">
        <v>90</v>
      </c>
      <c r="N651" t="s">
        <v>100</v>
      </c>
      <c r="O651" t="s">
        <v>92</v>
      </c>
      <c r="S651" t="s">
        <v>101</v>
      </c>
      <c r="T651" t="s">
        <v>102</v>
      </c>
      <c r="U651" t="s">
        <v>95</v>
      </c>
    </row>
    <row r="652" spans="1:21" x14ac:dyDescent="0.3">
      <c r="A652" t="s">
        <v>1586</v>
      </c>
      <c r="B652" s="6" t="str">
        <f>HYPERLINK("http://data.ntsb.gov/carol-repgen/api/Aviation/ReportMain/GenerateNewestReport/99833/pdf","AccidentReport")</f>
        <v>AccidentReport</v>
      </c>
      <c r="C652" t="s">
        <v>1587</v>
      </c>
      <c r="D652" t="s">
        <v>1588</v>
      </c>
      <c r="E652" t="s">
        <v>349</v>
      </c>
      <c r="F652" t="s">
        <v>88</v>
      </c>
      <c r="G652">
        <v>41.720534999999998</v>
      </c>
      <c r="H652">
        <v>-85.979140999999998</v>
      </c>
      <c r="K652" t="s">
        <v>89</v>
      </c>
      <c r="L652">
        <v>1</v>
      </c>
      <c r="M652" t="s">
        <v>90</v>
      </c>
      <c r="N652" t="s">
        <v>91</v>
      </c>
      <c r="O652" t="s">
        <v>92</v>
      </c>
      <c r="S652" t="s">
        <v>108</v>
      </c>
      <c r="U652" t="s">
        <v>222</v>
      </c>
    </row>
    <row r="653" spans="1:21" x14ac:dyDescent="0.3">
      <c r="A653" t="s">
        <v>1589</v>
      </c>
      <c r="B653" s="6" t="str">
        <f>HYPERLINK("http://data.ntsb.gov/carol-repgen/api/Aviation/ReportMain/GenerateNewestReport/99834/pdf","AccidentReport")</f>
        <v>AccidentReport</v>
      </c>
      <c r="C653" t="s">
        <v>1587</v>
      </c>
      <c r="D653" t="s">
        <v>1590</v>
      </c>
      <c r="E653" t="s">
        <v>203</v>
      </c>
      <c r="F653" t="s">
        <v>88</v>
      </c>
      <c r="G653">
        <v>45.310001</v>
      </c>
      <c r="H653">
        <v>-92.690002000000007</v>
      </c>
      <c r="K653" t="s">
        <v>89</v>
      </c>
      <c r="L653">
        <v>1</v>
      </c>
      <c r="M653" t="s">
        <v>90</v>
      </c>
      <c r="N653" t="s">
        <v>91</v>
      </c>
      <c r="O653" t="s">
        <v>92</v>
      </c>
      <c r="S653" t="s">
        <v>108</v>
      </c>
      <c r="T653" t="s">
        <v>139</v>
      </c>
      <c r="U653" t="s">
        <v>248</v>
      </c>
    </row>
    <row r="654" spans="1:21" x14ac:dyDescent="0.3">
      <c r="A654" t="s">
        <v>1591</v>
      </c>
      <c r="B654" s="6" t="str">
        <f>HYPERLINK("http://data.ntsb.gov/carol-repgen/api/Aviation/ReportMain/GenerateNewestReport/99838/pdf","AccidentReport")</f>
        <v>AccidentReport</v>
      </c>
      <c r="C654" t="s">
        <v>1587</v>
      </c>
      <c r="D654" t="s">
        <v>1592</v>
      </c>
      <c r="E654" t="s">
        <v>349</v>
      </c>
      <c r="F654" t="s">
        <v>88</v>
      </c>
      <c r="G654">
        <v>41.294165999999997</v>
      </c>
      <c r="H654">
        <v>-86.622496999999996</v>
      </c>
      <c r="J654">
        <v>1</v>
      </c>
      <c r="K654" t="s">
        <v>99</v>
      </c>
      <c r="L654">
        <v>1</v>
      </c>
      <c r="M654" t="s">
        <v>90</v>
      </c>
      <c r="N654" t="s">
        <v>91</v>
      </c>
      <c r="O654" t="s">
        <v>92</v>
      </c>
      <c r="S654" t="s">
        <v>93</v>
      </c>
      <c r="T654" t="s">
        <v>102</v>
      </c>
      <c r="U654" t="s">
        <v>103</v>
      </c>
    </row>
    <row r="655" spans="1:21" x14ac:dyDescent="0.3">
      <c r="A655" t="s">
        <v>1593</v>
      </c>
      <c r="B655" s="6" t="str">
        <f>HYPERLINK("http://data.ntsb.gov/carol-repgen/api/Aviation/ReportMain/GenerateNewestReport/99837/pdf","AccidentReport")</f>
        <v>AccidentReport</v>
      </c>
      <c r="C655" t="s">
        <v>1587</v>
      </c>
      <c r="D655" t="s">
        <v>1594</v>
      </c>
      <c r="E655" t="s">
        <v>98</v>
      </c>
      <c r="F655" t="s">
        <v>88</v>
      </c>
      <c r="G655">
        <v>29.693332000000002</v>
      </c>
      <c r="H655">
        <v>-81.506941999999995</v>
      </c>
      <c r="I655">
        <v>0</v>
      </c>
      <c r="J655">
        <v>2</v>
      </c>
      <c r="K655" t="s">
        <v>99</v>
      </c>
      <c r="L655">
        <v>1</v>
      </c>
      <c r="M655" t="s">
        <v>90</v>
      </c>
      <c r="N655" t="s">
        <v>91</v>
      </c>
      <c r="O655" t="s">
        <v>92</v>
      </c>
      <c r="S655" t="s">
        <v>108</v>
      </c>
      <c r="T655" t="s">
        <v>113</v>
      </c>
      <c r="U655" t="s">
        <v>150</v>
      </c>
    </row>
    <row r="656" spans="1:21" x14ac:dyDescent="0.3">
      <c r="A656" t="s">
        <v>1595</v>
      </c>
      <c r="B656" s="6" t="str">
        <f>HYPERLINK("http://data.ntsb.gov/carol-repgen/api/Aviation/ReportMain/GenerateNewestReport/99841/pdf","AccidentReport")</f>
        <v>AccidentReport</v>
      </c>
      <c r="C656" t="s">
        <v>1587</v>
      </c>
      <c r="D656" t="s">
        <v>553</v>
      </c>
      <c r="E656" t="s">
        <v>106</v>
      </c>
      <c r="F656" t="s">
        <v>88</v>
      </c>
      <c r="G656">
        <v>32.815834000000002</v>
      </c>
      <c r="H656">
        <v>-117.139442</v>
      </c>
      <c r="K656" t="s">
        <v>89</v>
      </c>
      <c r="L656">
        <v>1</v>
      </c>
      <c r="M656" t="s">
        <v>90</v>
      </c>
      <c r="N656" t="s">
        <v>91</v>
      </c>
      <c r="O656" t="s">
        <v>92</v>
      </c>
      <c r="S656" t="s">
        <v>108</v>
      </c>
      <c r="T656" t="s">
        <v>94</v>
      </c>
      <c r="U656" t="s">
        <v>95</v>
      </c>
    </row>
    <row r="657" spans="1:21" x14ac:dyDescent="0.3">
      <c r="A657" t="s">
        <v>1596</v>
      </c>
      <c r="B657" s="6" t="str">
        <f>HYPERLINK("http://data.ntsb.gov/carol-repgen/api/Aviation/ReportMain/GenerateNewestReport/99842/pdf","AccidentReport")</f>
        <v>AccidentReport</v>
      </c>
      <c r="C657" t="s">
        <v>1587</v>
      </c>
      <c r="D657" t="s">
        <v>1597</v>
      </c>
      <c r="E657" t="s">
        <v>98</v>
      </c>
      <c r="F657" t="s">
        <v>88</v>
      </c>
      <c r="G657">
        <v>29.901111</v>
      </c>
      <c r="H657">
        <v>-81.3125</v>
      </c>
      <c r="K657" t="s">
        <v>89</v>
      </c>
      <c r="L657">
        <v>1</v>
      </c>
      <c r="M657" t="s">
        <v>90</v>
      </c>
      <c r="N657" t="s">
        <v>91</v>
      </c>
      <c r="O657" t="s">
        <v>92</v>
      </c>
      <c r="S657" t="s">
        <v>93</v>
      </c>
      <c r="T657" t="s">
        <v>102</v>
      </c>
      <c r="U657" t="s">
        <v>103</v>
      </c>
    </row>
    <row r="658" spans="1:21" x14ac:dyDescent="0.3">
      <c r="A658" t="s">
        <v>1598</v>
      </c>
      <c r="B658" s="6" t="str">
        <f>HYPERLINK("http://data.ntsb.gov/carol-repgen/api/Aviation/ReportMain/GenerateNewestReport/99914/pdf","AccidentReport")</f>
        <v>AccidentReport</v>
      </c>
      <c r="C658" t="s">
        <v>1587</v>
      </c>
      <c r="D658" t="s">
        <v>1599</v>
      </c>
      <c r="E658" t="s">
        <v>290</v>
      </c>
      <c r="F658" t="s">
        <v>88</v>
      </c>
      <c r="G658">
        <v>39.868057</v>
      </c>
      <c r="H658">
        <v>-119.71028099999999</v>
      </c>
      <c r="K658" t="s">
        <v>89</v>
      </c>
      <c r="L658">
        <v>1</v>
      </c>
      <c r="M658" t="s">
        <v>90</v>
      </c>
      <c r="N658" t="s">
        <v>893</v>
      </c>
      <c r="O658" t="s">
        <v>92</v>
      </c>
      <c r="S658" t="s">
        <v>108</v>
      </c>
      <c r="T658" t="s">
        <v>102</v>
      </c>
      <c r="U658" t="s">
        <v>248</v>
      </c>
    </row>
    <row r="659" spans="1:21" x14ac:dyDescent="0.3">
      <c r="A659" t="s">
        <v>1600</v>
      </c>
      <c r="B659" s="6" t="str">
        <f>HYPERLINK("http://data.ntsb.gov/carol-repgen/api/Aviation/ReportMain/GenerateNewestReport/99862/pdf","AccidentReport")</f>
        <v>AccidentReport</v>
      </c>
      <c r="C659" t="s">
        <v>1587</v>
      </c>
      <c r="D659" t="s">
        <v>1601</v>
      </c>
      <c r="E659" t="s">
        <v>122</v>
      </c>
      <c r="F659" t="s">
        <v>88</v>
      </c>
      <c r="G659">
        <v>44.536665999999997</v>
      </c>
      <c r="H659">
        <v>-115.35083</v>
      </c>
      <c r="K659" t="s">
        <v>89</v>
      </c>
      <c r="L659">
        <v>1</v>
      </c>
      <c r="M659" t="s">
        <v>90</v>
      </c>
      <c r="N659" t="s">
        <v>91</v>
      </c>
      <c r="O659" t="s">
        <v>92</v>
      </c>
      <c r="S659" t="s">
        <v>108</v>
      </c>
      <c r="T659" t="s">
        <v>159</v>
      </c>
      <c r="U659" t="s">
        <v>248</v>
      </c>
    </row>
    <row r="660" spans="1:21" x14ac:dyDescent="0.3">
      <c r="A660" t="s">
        <v>1602</v>
      </c>
      <c r="B660" s="6" t="str">
        <f>HYPERLINK("http://data.ntsb.gov/carol-repgen/api/Aviation/ReportMain/GenerateNewestReport/99846/pdf","AccidentReport")</f>
        <v>AccidentReport</v>
      </c>
      <c r="C660" t="s">
        <v>1603</v>
      </c>
      <c r="D660" t="s">
        <v>1604</v>
      </c>
      <c r="E660" t="s">
        <v>402</v>
      </c>
      <c r="F660" t="s">
        <v>88</v>
      </c>
      <c r="G660">
        <v>35.029167000000001</v>
      </c>
      <c r="H660">
        <v>-81.252502000000007</v>
      </c>
      <c r="K660" t="s">
        <v>89</v>
      </c>
      <c r="L660">
        <v>1</v>
      </c>
      <c r="M660" t="s">
        <v>90</v>
      </c>
      <c r="N660" t="s">
        <v>91</v>
      </c>
      <c r="O660" t="s">
        <v>92</v>
      </c>
      <c r="S660" t="s">
        <v>108</v>
      </c>
      <c r="T660" t="s">
        <v>442</v>
      </c>
      <c r="U660" t="s">
        <v>248</v>
      </c>
    </row>
    <row r="661" spans="1:21" x14ac:dyDescent="0.3">
      <c r="A661" t="s">
        <v>1605</v>
      </c>
      <c r="B661" s="6" t="str">
        <f>HYPERLINK("http://data.ntsb.gov/carol-repgen/api/Aviation/ReportMain/GenerateNewestReport/99856/pdf","AccidentReport")</f>
        <v>AccidentReport</v>
      </c>
      <c r="C661" t="s">
        <v>1603</v>
      </c>
      <c r="D661" t="s">
        <v>1606</v>
      </c>
      <c r="E661" t="s">
        <v>106</v>
      </c>
      <c r="F661" t="s">
        <v>88</v>
      </c>
      <c r="G661">
        <v>34.665554</v>
      </c>
      <c r="H661">
        <v>-120.45749600000001</v>
      </c>
      <c r="K661" t="s">
        <v>155</v>
      </c>
      <c r="L661">
        <v>1</v>
      </c>
      <c r="M661" t="s">
        <v>90</v>
      </c>
      <c r="N661" t="s">
        <v>91</v>
      </c>
      <c r="O661" t="s">
        <v>92</v>
      </c>
      <c r="S661" t="s">
        <v>108</v>
      </c>
      <c r="T661" t="s">
        <v>411</v>
      </c>
      <c r="U661" t="s">
        <v>119</v>
      </c>
    </row>
    <row r="662" spans="1:21" x14ac:dyDescent="0.3">
      <c r="A662" t="s">
        <v>1607</v>
      </c>
      <c r="B662" s="6" t="str">
        <f>HYPERLINK("http://data.ntsb.gov/carol-repgen/api/Aviation/ReportMain/GenerateNewestReport/99885/pdf","AccidentReport")</f>
        <v>AccidentReport</v>
      </c>
      <c r="C662" t="s">
        <v>1603</v>
      </c>
      <c r="D662" t="s">
        <v>1608</v>
      </c>
      <c r="E662" t="s">
        <v>122</v>
      </c>
      <c r="F662" t="s">
        <v>88</v>
      </c>
      <c r="G662">
        <v>42.800556</v>
      </c>
      <c r="H662">
        <v>-111.986946</v>
      </c>
      <c r="K662" t="s">
        <v>155</v>
      </c>
      <c r="L662">
        <v>1</v>
      </c>
      <c r="M662" t="s">
        <v>90</v>
      </c>
      <c r="N662" t="s">
        <v>91</v>
      </c>
      <c r="O662" t="s">
        <v>169</v>
      </c>
      <c r="S662" t="s">
        <v>515</v>
      </c>
      <c r="T662" t="s">
        <v>102</v>
      </c>
      <c r="U662" t="s">
        <v>103</v>
      </c>
    </row>
    <row r="663" spans="1:21" x14ac:dyDescent="0.3">
      <c r="A663" t="s">
        <v>1609</v>
      </c>
      <c r="B663" s="6" t="str">
        <f>HYPERLINK("http://data.ntsb.gov/carol-repgen/api/Aviation/ReportMain/GenerateNewestReport/100008/pdf","AccidentReport")</f>
        <v>AccidentReport</v>
      </c>
      <c r="C663" t="s">
        <v>1603</v>
      </c>
      <c r="D663" t="s">
        <v>1610</v>
      </c>
      <c r="E663" t="s">
        <v>180</v>
      </c>
      <c r="F663" t="s">
        <v>88</v>
      </c>
      <c r="G663">
        <v>45.518332999999998</v>
      </c>
      <c r="H663">
        <v>-102.467781</v>
      </c>
      <c r="K663" t="s">
        <v>89</v>
      </c>
      <c r="L663">
        <v>1</v>
      </c>
      <c r="M663" t="s">
        <v>90</v>
      </c>
      <c r="N663" t="s">
        <v>91</v>
      </c>
      <c r="O663" t="s">
        <v>92</v>
      </c>
      <c r="S663" t="s">
        <v>108</v>
      </c>
      <c r="T663" t="s">
        <v>109</v>
      </c>
      <c r="U663" t="s">
        <v>95</v>
      </c>
    </row>
    <row r="664" spans="1:21" x14ac:dyDescent="0.3">
      <c r="A664" t="s">
        <v>1611</v>
      </c>
      <c r="B664" s="6" t="str">
        <f>HYPERLINK("http://data.ntsb.gov/carol-repgen/api/Aviation/ReportMain/GenerateNewestReport/99849/pdf","AccidentReport")</f>
        <v>AccidentReport</v>
      </c>
      <c r="C664" t="s">
        <v>1603</v>
      </c>
      <c r="D664" t="s">
        <v>1612</v>
      </c>
      <c r="E664" t="s">
        <v>106</v>
      </c>
      <c r="F664" t="s">
        <v>88</v>
      </c>
      <c r="G664">
        <v>37.655833999999999</v>
      </c>
      <c r="H664">
        <v>-122.12361</v>
      </c>
      <c r="I664">
        <v>1</v>
      </c>
      <c r="J664">
        <v>1</v>
      </c>
      <c r="K664" t="s">
        <v>107</v>
      </c>
      <c r="L664">
        <v>1</v>
      </c>
      <c r="M664" t="s">
        <v>90</v>
      </c>
      <c r="N664" t="s">
        <v>100</v>
      </c>
      <c r="O664" t="s">
        <v>92</v>
      </c>
      <c r="S664" t="s">
        <v>93</v>
      </c>
      <c r="T664" t="s">
        <v>381</v>
      </c>
      <c r="U664" t="s">
        <v>103</v>
      </c>
    </row>
    <row r="665" spans="1:21" x14ac:dyDescent="0.3">
      <c r="A665" t="s">
        <v>1613</v>
      </c>
      <c r="B665" s="6" t="str">
        <f>HYPERLINK("http://data.ntsb.gov/carol-repgen/api/Aviation/ReportMain/GenerateNewestReport/99891/pdf","AccidentReport")</f>
        <v>AccidentReport</v>
      </c>
      <c r="C665" t="s">
        <v>1603</v>
      </c>
      <c r="D665" t="s">
        <v>1614</v>
      </c>
      <c r="E665" t="s">
        <v>192</v>
      </c>
      <c r="F665" t="s">
        <v>88</v>
      </c>
      <c r="G665">
        <v>37.040649000000002</v>
      </c>
      <c r="H665">
        <v>-113.209304</v>
      </c>
      <c r="K665" t="s">
        <v>89</v>
      </c>
      <c r="L665">
        <v>1</v>
      </c>
      <c r="M665" t="s">
        <v>90</v>
      </c>
      <c r="N665" t="s">
        <v>91</v>
      </c>
      <c r="O665" t="s">
        <v>92</v>
      </c>
      <c r="S665" t="s">
        <v>108</v>
      </c>
      <c r="T665" t="s">
        <v>159</v>
      </c>
      <c r="U665" t="s">
        <v>248</v>
      </c>
    </row>
    <row r="666" spans="1:21" x14ac:dyDescent="0.3">
      <c r="A666" t="s">
        <v>1615</v>
      </c>
      <c r="B666" s="6" t="str">
        <f>HYPERLINK("http://data.ntsb.gov/carol-repgen/api/Aviation/ReportMain/GenerateNewestReport/99870/pdf","AccidentReport")</f>
        <v>AccidentReport</v>
      </c>
      <c r="C666" t="s">
        <v>1616</v>
      </c>
      <c r="D666" t="s">
        <v>1617</v>
      </c>
      <c r="E666" t="s">
        <v>536</v>
      </c>
      <c r="F666" t="s">
        <v>88</v>
      </c>
      <c r="G666">
        <v>38.338889999999999</v>
      </c>
      <c r="H666">
        <v>-75.061667999999997</v>
      </c>
      <c r="K666" t="s">
        <v>89</v>
      </c>
      <c r="L666">
        <v>1</v>
      </c>
      <c r="M666" t="s">
        <v>90</v>
      </c>
      <c r="N666" t="s">
        <v>91</v>
      </c>
      <c r="O666" t="s">
        <v>92</v>
      </c>
      <c r="S666" t="s">
        <v>101</v>
      </c>
      <c r="T666" t="s">
        <v>159</v>
      </c>
      <c r="U666" t="s">
        <v>103</v>
      </c>
    </row>
    <row r="667" spans="1:21" x14ac:dyDescent="0.3">
      <c r="A667" t="s">
        <v>1618</v>
      </c>
      <c r="B667" s="6" t="str">
        <f>HYPERLINK("http://data.ntsb.gov/carol-repgen/api/Aviation/ReportMain/GenerateNewestReport/99888/pdf","AccidentReport")</f>
        <v>AccidentReport</v>
      </c>
      <c r="C667" t="s">
        <v>1616</v>
      </c>
      <c r="D667" t="s">
        <v>1619</v>
      </c>
      <c r="E667" t="s">
        <v>87</v>
      </c>
      <c r="F667" t="s">
        <v>88</v>
      </c>
      <c r="G667">
        <v>46.833056999999997</v>
      </c>
      <c r="H667">
        <v>-95.893889999999999</v>
      </c>
      <c r="K667" t="s">
        <v>155</v>
      </c>
      <c r="L667">
        <v>1</v>
      </c>
      <c r="M667" t="s">
        <v>90</v>
      </c>
      <c r="N667" t="s">
        <v>91</v>
      </c>
      <c r="O667" t="s">
        <v>92</v>
      </c>
      <c r="S667" t="s">
        <v>108</v>
      </c>
      <c r="T667" t="s">
        <v>139</v>
      </c>
      <c r="U667" t="s">
        <v>119</v>
      </c>
    </row>
    <row r="668" spans="1:21" x14ac:dyDescent="0.3">
      <c r="A668" t="s">
        <v>1620</v>
      </c>
      <c r="B668" s="6" t="str">
        <f>HYPERLINK("http://data.ntsb.gov/carol-repgen/api/Aviation/ReportMain/GenerateNewestReport/99858/pdf","AccidentReport")</f>
        <v>AccidentReport</v>
      </c>
      <c r="C668" t="s">
        <v>1616</v>
      </c>
      <c r="D668" t="s">
        <v>1621</v>
      </c>
      <c r="E668" t="s">
        <v>146</v>
      </c>
      <c r="F668" t="s">
        <v>88</v>
      </c>
      <c r="G668">
        <v>36.395831999999999</v>
      </c>
      <c r="H668">
        <v>-85.641386999999995</v>
      </c>
      <c r="K668" t="s">
        <v>89</v>
      </c>
      <c r="L668">
        <v>1</v>
      </c>
      <c r="M668" t="s">
        <v>90</v>
      </c>
      <c r="N668" t="s">
        <v>91</v>
      </c>
      <c r="O668" t="s">
        <v>92</v>
      </c>
      <c r="S668" t="s">
        <v>108</v>
      </c>
      <c r="T668" t="s">
        <v>159</v>
      </c>
      <c r="U668" t="s">
        <v>186</v>
      </c>
    </row>
    <row r="669" spans="1:21" x14ac:dyDescent="0.3">
      <c r="A669" t="s">
        <v>1622</v>
      </c>
      <c r="B669" s="6" t="str">
        <f>HYPERLINK("http://data.ntsb.gov/carol-repgen/api/Aviation/ReportMain/GenerateNewestReport/99865/pdf","AccidentReport")</f>
        <v>AccidentReport</v>
      </c>
      <c r="C669" t="s">
        <v>1616</v>
      </c>
      <c r="D669" t="s">
        <v>1623</v>
      </c>
      <c r="E669" t="s">
        <v>98</v>
      </c>
      <c r="F669" t="s">
        <v>88</v>
      </c>
      <c r="G669">
        <v>29.43</v>
      </c>
      <c r="H669">
        <v>-81.604163999999997</v>
      </c>
      <c r="J669">
        <v>1</v>
      </c>
      <c r="K669" t="s">
        <v>99</v>
      </c>
      <c r="L669">
        <v>1</v>
      </c>
      <c r="M669" t="s">
        <v>90</v>
      </c>
      <c r="N669" t="s">
        <v>91</v>
      </c>
      <c r="O669" t="s">
        <v>92</v>
      </c>
      <c r="S669" t="s">
        <v>108</v>
      </c>
      <c r="T669" t="s">
        <v>94</v>
      </c>
      <c r="U669" t="s">
        <v>95</v>
      </c>
    </row>
    <row r="670" spans="1:21" x14ac:dyDescent="0.3">
      <c r="A670" t="s">
        <v>1624</v>
      </c>
      <c r="B670" s="6" t="str">
        <f>HYPERLINK("http://data.ntsb.gov/carol-repgen/api/Aviation/ReportMain/GenerateNewestReport/99860/pdf","AccidentReport")</f>
        <v>AccidentReport</v>
      </c>
      <c r="C670" t="s">
        <v>1616</v>
      </c>
      <c r="D670" t="s">
        <v>1625</v>
      </c>
      <c r="E670" t="s">
        <v>122</v>
      </c>
      <c r="F670" t="s">
        <v>88</v>
      </c>
      <c r="G670">
        <v>44.968055</v>
      </c>
      <c r="H670">
        <v>-114.73278000000001</v>
      </c>
      <c r="K670" t="s">
        <v>89</v>
      </c>
      <c r="L670">
        <v>1</v>
      </c>
      <c r="M670" t="s">
        <v>90</v>
      </c>
      <c r="N670" t="s">
        <v>91</v>
      </c>
      <c r="O670" t="s">
        <v>92</v>
      </c>
      <c r="S670" t="s">
        <v>93</v>
      </c>
      <c r="T670" t="s">
        <v>279</v>
      </c>
      <c r="U670" t="s">
        <v>95</v>
      </c>
    </row>
    <row r="671" spans="1:21" x14ac:dyDescent="0.3">
      <c r="A671" t="s">
        <v>1626</v>
      </c>
      <c r="B671" s="6" t="str">
        <f>HYPERLINK("http://data.ntsb.gov/carol-repgen/api/Aviation/ReportMain/GenerateNewestReport/99861/pdf","AccidentReport")</f>
        <v>AccidentReport</v>
      </c>
      <c r="C671" t="s">
        <v>1616</v>
      </c>
      <c r="D671" t="s">
        <v>1627</v>
      </c>
      <c r="E671" t="s">
        <v>125</v>
      </c>
      <c r="F671" t="s">
        <v>88</v>
      </c>
      <c r="G671">
        <v>35.946666</v>
      </c>
      <c r="H671">
        <v>-112.153335</v>
      </c>
      <c r="K671" t="s">
        <v>89</v>
      </c>
      <c r="L671">
        <v>1</v>
      </c>
      <c r="M671" t="s">
        <v>90</v>
      </c>
      <c r="N671" t="s">
        <v>91</v>
      </c>
      <c r="O671" t="s">
        <v>92</v>
      </c>
      <c r="S671" t="s">
        <v>108</v>
      </c>
      <c r="T671" t="s">
        <v>102</v>
      </c>
      <c r="U671" t="s">
        <v>95</v>
      </c>
    </row>
    <row r="672" spans="1:21" x14ac:dyDescent="0.3">
      <c r="A672" t="s">
        <v>1628</v>
      </c>
      <c r="B672" s="6" t="str">
        <f>HYPERLINK("http://data.ntsb.gov/carol-repgen/api/Aviation/ReportMain/GenerateNewestReport/99866/pdf","AccidentReport")</f>
        <v>AccidentReport</v>
      </c>
      <c r="C672" t="s">
        <v>1616</v>
      </c>
      <c r="D672" t="s">
        <v>1629</v>
      </c>
      <c r="E672" t="s">
        <v>734</v>
      </c>
      <c r="F672" t="s">
        <v>88</v>
      </c>
      <c r="G672">
        <v>45.336112</v>
      </c>
      <c r="H672">
        <v>-69.050833999999995</v>
      </c>
      <c r="K672" t="s">
        <v>89</v>
      </c>
      <c r="L672">
        <v>1</v>
      </c>
      <c r="M672" t="s">
        <v>90</v>
      </c>
      <c r="N672" t="s">
        <v>91</v>
      </c>
      <c r="O672" t="s">
        <v>92</v>
      </c>
      <c r="S672" t="s">
        <v>108</v>
      </c>
      <c r="T672" t="s">
        <v>94</v>
      </c>
      <c r="U672" t="s">
        <v>95</v>
      </c>
    </row>
    <row r="673" spans="1:21" x14ac:dyDescent="0.3">
      <c r="A673" t="s">
        <v>1630</v>
      </c>
      <c r="B673" s="6" t="str">
        <f>HYPERLINK("http://data.ntsb.gov/carol-repgen/api/Aviation/ReportMain/GenerateNewestReport/99869/pdf","AccidentReport")</f>
        <v>AccidentReport</v>
      </c>
      <c r="C673" t="s">
        <v>1616</v>
      </c>
      <c r="D673" t="s">
        <v>1631</v>
      </c>
      <c r="E673" t="s">
        <v>518</v>
      </c>
      <c r="F673" t="s">
        <v>88</v>
      </c>
      <c r="G673">
        <v>41.234442999999999</v>
      </c>
      <c r="H673">
        <v>-95.746391000000003</v>
      </c>
      <c r="K673" t="s">
        <v>155</v>
      </c>
      <c r="L673">
        <v>1</v>
      </c>
      <c r="M673" t="s">
        <v>90</v>
      </c>
      <c r="N673" t="s">
        <v>100</v>
      </c>
      <c r="O673" t="s">
        <v>169</v>
      </c>
      <c r="S673" t="s">
        <v>515</v>
      </c>
      <c r="T673" t="s">
        <v>109</v>
      </c>
      <c r="U673" t="s">
        <v>248</v>
      </c>
    </row>
    <row r="674" spans="1:21" x14ac:dyDescent="0.3">
      <c r="A674" t="s">
        <v>1632</v>
      </c>
      <c r="B674" s="6" t="str">
        <f>HYPERLINK("http://data.ntsb.gov/carol-repgen/api/Aviation/ReportMain/GenerateNewestReport/99859/pdf","AccidentReport")</f>
        <v>AccidentReport</v>
      </c>
      <c r="C674" t="s">
        <v>1616</v>
      </c>
      <c r="D674" t="s">
        <v>1633</v>
      </c>
      <c r="E674" t="s">
        <v>251</v>
      </c>
      <c r="F674" t="s">
        <v>88</v>
      </c>
      <c r="G674">
        <v>44.887500000000003</v>
      </c>
      <c r="H674">
        <v>-122.871948</v>
      </c>
      <c r="J674">
        <v>1</v>
      </c>
      <c r="K674" t="s">
        <v>99</v>
      </c>
      <c r="L674">
        <v>1</v>
      </c>
      <c r="M674" t="s">
        <v>147</v>
      </c>
      <c r="N674" t="s">
        <v>91</v>
      </c>
      <c r="O674" t="s">
        <v>92</v>
      </c>
      <c r="S674" t="s">
        <v>108</v>
      </c>
      <c r="T674" t="s">
        <v>587</v>
      </c>
      <c r="U674" t="s">
        <v>186</v>
      </c>
    </row>
    <row r="675" spans="1:21" x14ac:dyDescent="0.3">
      <c r="A675" t="s">
        <v>1634</v>
      </c>
      <c r="B675" s="6" t="str">
        <f>HYPERLINK("http://data.ntsb.gov/carol-repgen/api/Aviation/ReportMain/GenerateNewestReport/99876/pdf","AccidentReport")</f>
        <v>AccidentReport</v>
      </c>
      <c r="C675" t="s">
        <v>1635</v>
      </c>
      <c r="D675" t="s">
        <v>1636</v>
      </c>
      <c r="E675" t="s">
        <v>251</v>
      </c>
      <c r="F675" t="s">
        <v>88</v>
      </c>
      <c r="G675">
        <v>42.535400000000003</v>
      </c>
      <c r="H675">
        <v>-118.456</v>
      </c>
      <c r="I675">
        <v>1</v>
      </c>
      <c r="K675" t="s">
        <v>107</v>
      </c>
      <c r="L675">
        <v>1</v>
      </c>
      <c r="M675" t="s">
        <v>147</v>
      </c>
      <c r="N675" t="s">
        <v>893</v>
      </c>
      <c r="O675" t="s">
        <v>92</v>
      </c>
      <c r="S675" t="s">
        <v>1637</v>
      </c>
      <c r="T675" t="s">
        <v>102</v>
      </c>
      <c r="U675" t="s">
        <v>248</v>
      </c>
    </row>
    <row r="676" spans="1:21" x14ac:dyDescent="0.3">
      <c r="A676" t="s">
        <v>1638</v>
      </c>
      <c r="B676" s="6" t="str">
        <f>HYPERLINK("http://data.ntsb.gov/carol-repgen/api/Aviation/ReportMain/GenerateNewestReport/99882/pdf","AccidentReport")</f>
        <v>AccidentReport</v>
      </c>
      <c r="C676" t="s">
        <v>1635</v>
      </c>
      <c r="D676" t="s">
        <v>1639</v>
      </c>
      <c r="E676" t="s">
        <v>290</v>
      </c>
      <c r="F676" t="s">
        <v>88</v>
      </c>
      <c r="G676">
        <v>36.832500000000003</v>
      </c>
      <c r="H676">
        <v>-114.05722</v>
      </c>
      <c r="K676" t="s">
        <v>155</v>
      </c>
      <c r="L676">
        <v>1</v>
      </c>
      <c r="M676" t="s">
        <v>147</v>
      </c>
      <c r="N676" t="s">
        <v>91</v>
      </c>
      <c r="O676" t="s">
        <v>92</v>
      </c>
      <c r="S676" t="s">
        <v>433</v>
      </c>
      <c r="T676" t="s">
        <v>411</v>
      </c>
      <c r="U676" t="s">
        <v>95</v>
      </c>
    </row>
    <row r="677" spans="1:21" x14ac:dyDescent="0.3">
      <c r="A677" t="s">
        <v>1640</v>
      </c>
      <c r="B677" s="6" t="str">
        <f>HYPERLINK("http://data.ntsb.gov/carol-repgen/api/Aviation/ReportMain/GenerateNewestReport/99880/pdf","AccidentReport")</f>
        <v>AccidentReport</v>
      </c>
      <c r="C677" t="s">
        <v>1641</v>
      </c>
      <c r="D677" t="s">
        <v>344</v>
      </c>
      <c r="E677" t="s">
        <v>345</v>
      </c>
      <c r="F677" t="s">
        <v>88</v>
      </c>
      <c r="G677">
        <v>41.311942999999999</v>
      </c>
      <c r="H677">
        <v>-105.675003</v>
      </c>
      <c r="K677" t="s">
        <v>89</v>
      </c>
      <c r="L677">
        <v>1</v>
      </c>
      <c r="M677" t="s">
        <v>90</v>
      </c>
      <c r="N677" t="s">
        <v>91</v>
      </c>
      <c r="O677" t="s">
        <v>92</v>
      </c>
      <c r="S677" t="s">
        <v>418</v>
      </c>
      <c r="T677" t="s">
        <v>109</v>
      </c>
      <c r="U677" t="s">
        <v>95</v>
      </c>
    </row>
    <row r="678" spans="1:21" x14ac:dyDescent="0.3">
      <c r="A678" t="s">
        <v>1642</v>
      </c>
      <c r="B678" s="6" t="str">
        <f>HYPERLINK("http://data.ntsb.gov/carol-repgen/api/Aviation/ReportMain/GenerateNewestReport/99883/pdf","AccidentReport")</f>
        <v>AccidentReport</v>
      </c>
      <c r="C678" t="s">
        <v>1641</v>
      </c>
      <c r="D678" t="s">
        <v>1643</v>
      </c>
      <c r="E678" t="s">
        <v>192</v>
      </c>
      <c r="F678" t="s">
        <v>88</v>
      </c>
      <c r="G678">
        <v>40.526389999999999</v>
      </c>
      <c r="H678">
        <v>-111.83139</v>
      </c>
      <c r="K678" t="s">
        <v>89</v>
      </c>
      <c r="L678">
        <v>1</v>
      </c>
      <c r="M678" t="s">
        <v>90</v>
      </c>
      <c r="N678" t="s">
        <v>91</v>
      </c>
      <c r="O678" t="s">
        <v>92</v>
      </c>
      <c r="S678" t="s">
        <v>108</v>
      </c>
      <c r="T678" t="s">
        <v>159</v>
      </c>
      <c r="U678" t="s">
        <v>186</v>
      </c>
    </row>
    <row r="679" spans="1:21" x14ac:dyDescent="0.3">
      <c r="A679" t="s">
        <v>1644</v>
      </c>
      <c r="B679" s="6" t="str">
        <f>HYPERLINK("http://data.ntsb.gov/carol-repgen/api/Aviation/ReportMain/GenerateNewestReport/99897/pdf","AccidentReport")</f>
        <v>AccidentReport</v>
      </c>
      <c r="C679" t="s">
        <v>1645</v>
      </c>
      <c r="D679" t="s">
        <v>1646</v>
      </c>
      <c r="E679" t="s">
        <v>651</v>
      </c>
      <c r="F679" t="s">
        <v>88</v>
      </c>
      <c r="G679">
        <v>41.626666999999998</v>
      </c>
      <c r="H679">
        <v>-73.884162000000003</v>
      </c>
      <c r="J679">
        <v>3</v>
      </c>
      <c r="K679" t="s">
        <v>99</v>
      </c>
      <c r="L679">
        <v>1</v>
      </c>
      <c r="M679" t="s">
        <v>90</v>
      </c>
      <c r="N679" t="s">
        <v>91</v>
      </c>
      <c r="O679" t="s">
        <v>92</v>
      </c>
      <c r="S679" t="s">
        <v>108</v>
      </c>
      <c r="T679" t="s">
        <v>118</v>
      </c>
      <c r="U679" t="s">
        <v>186</v>
      </c>
    </row>
    <row r="680" spans="1:21" x14ac:dyDescent="0.3">
      <c r="A680" t="s">
        <v>1647</v>
      </c>
      <c r="B680" s="6" t="str">
        <f>HYPERLINK("http://data.ntsb.gov/carol-repgen/api/Aviation/ReportMain/GenerateNewestReport/99901/pdf","AccidentReport")</f>
        <v>AccidentReport</v>
      </c>
      <c r="C680" t="s">
        <v>1645</v>
      </c>
      <c r="D680" t="s">
        <v>1617</v>
      </c>
      <c r="E680" t="s">
        <v>536</v>
      </c>
      <c r="F680" t="s">
        <v>88</v>
      </c>
      <c r="G680">
        <v>38.314444999999999</v>
      </c>
      <c r="H680">
        <v>-75.127776999999995</v>
      </c>
      <c r="K680" t="s">
        <v>155</v>
      </c>
      <c r="L680">
        <v>1</v>
      </c>
      <c r="M680" t="s">
        <v>90</v>
      </c>
      <c r="N680" t="s">
        <v>91</v>
      </c>
      <c r="O680" t="s">
        <v>92</v>
      </c>
      <c r="S680" t="s">
        <v>108</v>
      </c>
      <c r="T680" t="s">
        <v>159</v>
      </c>
      <c r="U680" t="s">
        <v>150</v>
      </c>
    </row>
    <row r="681" spans="1:21" x14ac:dyDescent="0.3">
      <c r="A681" t="s">
        <v>1648</v>
      </c>
      <c r="B681" s="6" t="str">
        <f>HYPERLINK("http://data.ntsb.gov/carol-repgen/api/Aviation/ReportMain/GenerateNewestReport/99908/pdf","AccidentReport")</f>
        <v>AccidentReport</v>
      </c>
      <c r="C681" t="s">
        <v>1645</v>
      </c>
      <c r="D681" t="s">
        <v>367</v>
      </c>
      <c r="E681" t="s">
        <v>98</v>
      </c>
      <c r="F681" t="s">
        <v>88</v>
      </c>
      <c r="G681">
        <v>28.777221000000001</v>
      </c>
      <c r="H681">
        <v>-81.234999999999999</v>
      </c>
      <c r="K681" t="s">
        <v>89</v>
      </c>
      <c r="L681">
        <v>1</v>
      </c>
      <c r="M681" t="s">
        <v>90</v>
      </c>
      <c r="N681" t="s">
        <v>91</v>
      </c>
      <c r="O681" t="s">
        <v>92</v>
      </c>
      <c r="S681" t="s">
        <v>108</v>
      </c>
      <c r="T681" t="s">
        <v>109</v>
      </c>
      <c r="U681" t="s">
        <v>95</v>
      </c>
    </row>
    <row r="682" spans="1:21" x14ac:dyDescent="0.3">
      <c r="A682" t="s">
        <v>1649</v>
      </c>
      <c r="B682" s="6" t="str">
        <f>HYPERLINK("http://data.ntsb.gov/carol-repgen/api/Aviation/ReportMain/GenerateNewestReport/99887/pdf","AccidentReport")</f>
        <v>AccidentReport</v>
      </c>
      <c r="C682" t="s">
        <v>1645</v>
      </c>
      <c r="D682" t="s">
        <v>756</v>
      </c>
      <c r="E682" t="s">
        <v>131</v>
      </c>
      <c r="F682" t="s">
        <v>88</v>
      </c>
      <c r="G682">
        <v>39.578609</v>
      </c>
      <c r="H682">
        <v>-104.851112</v>
      </c>
      <c r="K682" t="s">
        <v>89</v>
      </c>
      <c r="L682">
        <v>1</v>
      </c>
      <c r="M682" t="s">
        <v>90</v>
      </c>
      <c r="N682" t="s">
        <v>91</v>
      </c>
      <c r="O682" t="s">
        <v>92</v>
      </c>
      <c r="S682" t="s">
        <v>93</v>
      </c>
      <c r="T682" t="s">
        <v>94</v>
      </c>
      <c r="U682" t="s">
        <v>248</v>
      </c>
    </row>
    <row r="683" spans="1:21" x14ac:dyDescent="0.3">
      <c r="A683" t="s">
        <v>1650</v>
      </c>
      <c r="B683" s="6" t="str">
        <f>HYPERLINK("http://data.ntsb.gov/carol-repgen/api/Aviation/ReportMain/GenerateNewestReport/99905/pdf","AccidentReport")</f>
        <v>AccidentReport</v>
      </c>
      <c r="C683" t="s">
        <v>1645</v>
      </c>
      <c r="D683" t="s">
        <v>1264</v>
      </c>
      <c r="E683" t="s">
        <v>125</v>
      </c>
      <c r="F683" t="s">
        <v>88</v>
      </c>
      <c r="G683">
        <v>33.688330999999998</v>
      </c>
      <c r="H683">
        <v>-112.08249600000001</v>
      </c>
      <c r="K683" t="s">
        <v>89</v>
      </c>
      <c r="L683">
        <v>1</v>
      </c>
      <c r="M683" t="s">
        <v>90</v>
      </c>
      <c r="N683" t="s">
        <v>91</v>
      </c>
      <c r="O683" t="s">
        <v>92</v>
      </c>
      <c r="S683" t="s">
        <v>108</v>
      </c>
      <c r="T683" t="s">
        <v>94</v>
      </c>
      <c r="U683" t="s">
        <v>95</v>
      </c>
    </row>
    <row r="684" spans="1:21" x14ac:dyDescent="0.3">
      <c r="A684" t="s">
        <v>1651</v>
      </c>
      <c r="B684" s="6" t="str">
        <f>HYPERLINK("http://data.ntsb.gov/carol-repgen/api/Aviation/ReportMain/GenerateNewestReport/99921/pdf","AccidentReport")</f>
        <v>AccidentReport</v>
      </c>
      <c r="C684" t="s">
        <v>1645</v>
      </c>
      <c r="D684" t="s">
        <v>1652</v>
      </c>
      <c r="E684" t="s">
        <v>251</v>
      </c>
      <c r="F684" t="s">
        <v>88</v>
      </c>
      <c r="G684">
        <v>45.354166999999997</v>
      </c>
      <c r="H684">
        <v>-117.633331</v>
      </c>
      <c r="K684" t="s">
        <v>89</v>
      </c>
      <c r="L684">
        <v>1</v>
      </c>
      <c r="M684" t="s">
        <v>90</v>
      </c>
      <c r="N684" t="s">
        <v>91</v>
      </c>
      <c r="O684" t="s">
        <v>92</v>
      </c>
      <c r="S684" t="s">
        <v>108</v>
      </c>
      <c r="T684" t="s">
        <v>247</v>
      </c>
      <c r="U684" t="s">
        <v>248</v>
      </c>
    </row>
    <row r="685" spans="1:21" x14ac:dyDescent="0.3">
      <c r="A685" t="s">
        <v>1653</v>
      </c>
      <c r="B685" s="6" t="str">
        <f>HYPERLINK("http://data.ntsb.gov/carol-repgen/api/Aviation/ReportMain/GenerateNewestReport/99904/pdf","AccidentReport")</f>
        <v>AccidentReport</v>
      </c>
      <c r="C685" t="s">
        <v>1645</v>
      </c>
      <c r="D685" t="s">
        <v>1654</v>
      </c>
      <c r="E685" t="s">
        <v>251</v>
      </c>
      <c r="F685" t="s">
        <v>88</v>
      </c>
      <c r="G685">
        <v>45.619444999999999</v>
      </c>
      <c r="H685">
        <v>-121.168334</v>
      </c>
      <c r="K685" t="s">
        <v>89</v>
      </c>
      <c r="L685">
        <v>1</v>
      </c>
      <c r="M685" t="s">
        <v>147</v>
      </c>
      <c r="N685" t="s">
        <v>91</v>
      </c>
      <c r="O685" t="s">
        <v>92</v>
      </c>
      <c r="S685" t="s">
        <v>108</v>
      </c>
      <c r="T685" t="s">
        <v>109</v>
      </c>
      <c r="U685" t="s">
        <v>248</v>
      </c>
    </row>
    <row r="686" spans="1:21" x14ac:dyDescent="0.3">
      <c r="A686" t="s">
        <v>1655</v>
      </c>
      <c r="B686" s="6" t="str">
        <f>HYPERLINK("http://data.ntsb.gov/carol-repgen/api/Aviation/ReportMain/GenerateNewestReport/99907/pdf","AccidentReport")</f>
        <v>AccidentReport</v>
      </c>
      <c r="C686" t="s">
        <v>1656</v>
      </c>
      <c r="D686" t="s">
        <v>469</v>
      </c>
      <c r="E686" t="s">
        <v>233</v>
      </c>
      <c r="F686" t="s">
        <v>88</v>
      </c>
      <c r="G686">
        <v>61.687778000000002</v>
      </c>
      <c r="H686">
        <v>-151.40083000000001</v>
      </c>
      <c r="J686">
        <v>1</v>
      </c>
      <c r="K686" t="s">
        <v>99</v>
      </c>
      <c r="L686">
        <v>1</v>
      </c>
      <c r="M686" t="s">
        <v>90</v>
      </c>
      <c r="N686" t="s">
        <v>91</v>
      </c>
      <c r="O686" t="s">
        <v>92</v>
      </c>
      <c r="S686" t="s">
        <v>108</v>
      </c>
      <c r="T686" t="s">
        <v>411</v>
      </c>
      <c r="U686" t="s">
        <v>119</v>
      </c>
    </row>
    <row r="687" spans="1:21" x14ac:dyDescent="0.3">
      <c r="A687" t="s">
        <v>1657</v>
      </c>
      <c r="B687" s="6" t="str">
        <f>HYPERLINK("http://data.ntsb.gov/carol-repgen/api/Aviation/ReportMain/GenerateNewestReport/99889/pdf","AccidentReport")</f>
        <v>AccidentReport</v>
      </c>
      <c r="C687" t="s">
        <v>1656</v>
      </c>
      <c r="D687" t="s">
        <v>1658</v>
      </c>
      <c r="E687" t="s">
        <v>203</v>
      </c>
      <c r="F687" t="s">
        <v>88</v>
      </c>
      <c r="G687">
        <v>43.984442999999999</v>
      </c>
      <c r="H687">
        <v>-88.556663</v>
      </c>
      <c r="K687" t="s">
        <v>89</v>
      </c>
      <c r="L687">
        <v>1</v>
      </c>
      <c r="M687" t="s">
        <v>90</v>
      </c>
      <c r="N687" t="s">
        <v>91</v>
      </c>
      <c r="O687" t="s">
        <v>92</v>
      </c>
      <c r="S687" t="s">
        <v>108</v>
      </c>
      <c r="T687" t="s">
        <v>109</v>
      </c>
      <c r="U687" t="s">
        <v>95</v>
      </c>
    </row>
    <row r="688" spans="1:21" x14ac:dyDescent="0.3">
      <c r="A688" t="s">
        <v>1659</v>
      </c>
      <c r="B688" s="6" t="str">
        <f>HYPERLINK("http://data.ntsb.gov/carol-repgen/api/Aviation/ReportMain/GenerateNewestReport/99919/pdf","AccidentReport")</f>
        <v>AccidentReport</v>
      </c>
      <c r="C688" t="s">
        <v>1656</v>
      </c>
      <c r="D688" t="s">
        <v>1660</v>
      </c>
      <c r="E688" t="s">
        <v>154</v>
      </c>
      <c r="F688" t="s">
        <v>88</v>
      </c>
      <c r="G688">
        <v>32.379427999999997</v>
      </c>
      <c r="H688">
        <v>-94.860847000000007</v>
      </c>
      <c r="J688">
        <v>1</v>
      </c>
      <c r="K688" t="s">
        <v>99</v>
      </c>
      <c r="L688">
        <v>1</v>
      </c>
      <c r="M688" t="s">
        <v>90</v>
      </c>
      <c r="N688" t="s">
        <v>91</v>
      </c>
      <c r="O688" t="s">
        <v>92</v>
      </c>
      <c r="S688" t="s">
        <v>108</v>
      </c>
      <c r="T688" t="s">
        <v>102</v>
      </c>
      <c r="U688" t="s">
        <v>248</v>
      </c>
    </row>
    <row r="689" spans="1:21" x14ac:dyDescent="0.3">
      <c r="A689" t="s">
        <v>1661</v>
      </c>
      <c r="B689" s="6" t="str">
        <f>HYPERLINK("http://data.ntsb.gov/carol-repgen/api/Aviation/ReportMain/GenerateNewestReport/99902/pdf","AccidentReport")</f>
        <v>AccidentReport</v>
      </c>
      <c r="C689" t="s">
        <v>1656</v>
      </c>
      <c r="D689" t="s">
        <v>1662</v>
      </c>
      <c r="E689" t="s">
        <v>457</v>
      </c>
      <c r="F689" t="s">
        <v>88</v>
      </c>
      <c r="G689">
        <v>38.59111</v>
      </c>
      <c r="H689">
        <v>-92.156111999999993</v>
      </c>
      <c r="K689" t="s">
        <v>89</v>
      </c>
      <c r="L689">
        <v>1</v>
      </c>
      <c r="M689" t="s">
        <v>90</v>
      </c>
      <c r="N689" t="s">
        <v>91</v>
      </c>
      <c r="O689" t="s">
        <v>92</v>
      </c>
      <c r="S689" t="s">
        <v>108</v>
      </c>
      <c r="T689" t="s">
        <v>94</v>
      </c>
      <c r="U689" t="s">
        <v>95</v>
      </c>
    </row>
    <row r="690" spans="1:21" x14ac:dyDescent="0.3">
      <c r="A690" t="s">
        <v>1663</v>
      </c>
      <c r="B690" s="6" t="str">
        <f>HYPERLINK("http://data.ntsb.gov/carol-repgen/api/Aviation/ReportMain/GenerateNewestReport/99909/pdf","AccidentReport")</f>
        <v>AccidentReport</v>
      </c>
      <c r="C690" t="s">
        <v>1656</v>
      </c>
      <c r="D690" t="s">
        <v>1483</v>
      </c>
      <c r="E690" t="s">
        <v>106</v>
      </c>
      <c r="F690" t="s">
        <v>88</v>
      </c>
      <c r="G690">
        <v>37.673053000000003</v>
      </c>
      <c r="H690">
        <v>-121.438056</v>
      </c>
      <c r="K690" t="s">
        <v>89</v>
      </c>
      <c r="L690">
        <v>1</v>
      </c>
      <c r="M690" t="s">
        <v>90</v>
      </c>
      <c r="N690" t="s">
        <v>91</v>
      </c>
      <c r="O690" t="s">
        <v>92</v>
      </c>
      <c r="S690" t="s">
        <v>108</v>
      </c>
      <c r="T690" t="s">
        <v>159</v>
      </c>
      <c r="U690" t="s">
        <v>186</v>
      </c>
    </row>
    <row r="691" spans="1:21" x14ac:dyDescent="0.3">
      <c r="A691" t="s">
        <v>1664</v>
      </c>
      <c r="B691" s="6" t="str">
        <f>HYPERLINK("http://data.ntsb.gov/carol-repgen/api/Aviation/ReportMain/GenerateNewestReport/99912/pdf","AccidentReport")</f>
        <v>AccidentReport</v>
      </c>
      <c r="C691" t="s">
        <v>1656</v>
      </c>
      <c r="D691" t="s">
        <v>1224</v>
      </c>
      <c r="E691" t="s">
        <v>122</v>
      </c>
      <c r="F691" t="s">
        <v>88</v>
      </c>
      <c r="G691">
        <v>44.883887999999999</v>
      </c>
      <c r="H691">
        <v>-115.70749600000001</v>
      </c>
      <c r="K691" t="s">
        <v>155</v>
      </c>
      <c r="L691">
        <v>1</v>
      </c>
      <c r="M691" t="s">
        <v>90</v>
      </c>
      <c r="N691" t="s">
        <v>91</v>
      </c>
      <c r="O691" t="s">
        <v>92</v>
      </c>
      <c r="S691" t="s">
        <v>108</v>
      </c>
      <c r="T691" t="s">
        <v>411</v>
      </c>
      <c r="U691" t="s">
        <v>95</v>
      </c>
    </row>
    <row r="692" spans="1:21" x14ac:dyDescent="0.3">
      <c r="A692" t="s">
        <v>1665</v>
      </c>
      <c r="B692" s="6" t="str">
        <f>HYPERLINK("http://data.ntsb.gov/carol-repgen/api/Aviation/ReportMain/GenerateNewestReport/99924/pdf","AccidentReport")</f>
        <v>AccidentReport</v>
      </c>
      <c r="C692" t="s">
        <v>1656</v>
      </c>
      <c r="D692" t="s">
        <v>1666</v>
      </c>
      <c r="E692" t="s">
        <v>176</v>
      </c>
      <c r="F692" t="s">
        <v>88</v>
      </c>
      <c r="G692">
        <v>45.819999000000003</v>
      </c>
      <c r="H692">
        <v>-122.550003</v>
      </c>
      <c r="K692" t="s">
        <v>89</v>
      </c>
      <c r="L692">
        <v>1</v>
      </c>
      <c r="M692" t="s">
        <v>90</v>
      </c>
      <c r="N692" t="s">
        <v>91</v>
      </c>
      <c r="O692" t="s">
        <v>92</v>
      </c>
      <c r="S692" t="s">
        <v>108</v>
      </c>
      <c r="T692" t="s">
        <v>159</v>
      </c>
      <c r="U692" t="s">
        <v>95</v>
      </c>
    </row>
    <row r="693" spans="1:21" x14ac:dyDescent="0.3">
      <c r="A693" t="s">
        <v>1667</v>
      </c>
      <c r="B693" s="6" t="str">
        <f>HYPERLINK("http://data.ntsb.gov/carol-repgen/api/Aviation/ReportMain/GenerateNewestReport/99927/pdf","AccidentReport")</f>
        <v>AccidentReport</v>
      </c>
      <c r="C693" t="s">
        <v>1656</v>
      </c>
      <c r="D693" t="s">
        <v>1668</v>
      </c>
      <c r="E693" t="s">
        <v>106</v>
      </c>
      <c r="F693" t="s">
        <v>88</v>
      </c>
      <c r="G693">
        <v>36.228332000000002</v>
      </c>
      <c r="H693">
        <v>-121.121391</v>
      </c>
      <c r="K693" t="s">
        <v>89</v>
      </c>
      <c r="L693">
        <v>1</v>
      </c>
      <c r="M693" t="s">
        <v>90</v>
      </c>
      <c r="N693" t="s">
        <v>91</v>
      </c>
      <c r="O693" t="s">
        <v>92</v>
      </c>
      <c r="S693" t="s">
        <v>108</v>
      </c>
      <c r="T693" t="s">
        <v>109</v>
      </c>
      <c r="U693" t="s">
        <v>95</v>
      </c>
    </row>
    <row r="694" spans="1:21" x14ac:dyDescent="0.3">
      <c r="A694" t="s">
        <v>1669</v>
      </c>
      <c r="B694" s="6" t="str">
        <f>HYPERLINK("http://data.ntsb.gov/carol-repgen/api/Aviation/ReportMain/GenerateNewestReport/99894/pdf","AccidentReport")</f>
        <v>AccidentReport</v>
      </c>
      <c r="C694" t="s">
        <v>1670</v>
      </c>
      <c r="D694" t="s">
        <v>1496</v>
      </c>
      <c r="E694" t="s">
        <v>457</v>
      </c>
      <c r="F694" t="s">
        <v>88</v>
      </c>
      <c r="G694">
        <v>37.333331999999999</v>
      </c>
      <c r="H694">
        <v>-91.966667000000001</v>
      </c>
      <c r="K694" t="s">
        <v>89</v>
      </c>
      <c r="L694">
        <v>1</v>
      </c>
      <c r="M694" t="s">
        <v>90</v>
      </c>
      <c r="N694" t="s">
        <v>91</v>
      </c>
      <c r="O694" t="s">
        <v>92</v>
      </c>
      <c r="S694" t="s">
        <v>108</v>
      </c>
      <c r="T694" t="s">
        <v>118</v>
      </c>
      <c r="U694" t="s">
        <v>248</v>
      </c>
    </row>
    <row r="695" spans="1:21" x14ac:dyDescent="0.3">
      <c r="A695" t="s">
        <v>1671</v>
      </c>
      <c r="B695" s="6" t="str">
        <f>HYPERLINK("http://data.ntsb.gov/carol-repgen/api/Aviation/ReportMain/GenerateNewestReport/99895/pdf","AccidentReport")</f>
        <v>AccidentReport</v>
      </c>
      <c r="C695" t="s">
        <v>1670</v>
      </c>
      <c r="D695" t="s">
        <v>1672</v>
      </c>
      <c r="E695" t="s">
        <v>518</v>
      </c>
      <c r="F695" t="s">
        <v>88</v>
      </c>
      <c r="G695">
        <v>42.340831000000001</v>
      </c>
      <c r="H695">
        <v>-95.538055</v>
      </c>
      <c r="K695" t="s">
        <v>155</v>
      </c>
      <c r="L695">
        <v>1</v>
      </c>
      <c r="M695" t="s">
        <v>90</v>
      </c>
      <c r="N695" t="s">
        <v>100</v>
      </c>
      <c r="O695" t="s">
        <v>169</v>
      </c>
      <c r="S695" t="s">
        <v>515</v>
      </c>
      <c r="T695" t="s">
        <v>159</v>
      </c>
      <c r="U695" t="s">
        <v>103</v>
      </c>
    </row>
    <row r="696" spans="1:21" x14ac:dyDescent="0.3">
      <c r="A696" t="s">
        <v>1673</v>
      </c>
      <c r="B696" s="6" t="str">
        <f>HYPERLINK("http://data.ntsb.gov/carol-repgen/api/Aviation/ReportMain/GenerateNewestReport/99898/pdf","AccidentReport")</f>
        <v>AccidentReport</v>
      </c>
      <c r="C696" t="s">
        <v>1670</v>
      </c>
      <c r="D696" t="s">
        <v>1674</v>
      </c>
      <c r="E696" t="s">
        <v>138</v>
      </c>
      <c r="F696" t="s">
        <v>88</v>
      </c>
      <c r="G696">
        <v>43.484164999999997</v>
      </c>
      <c r="H696">
        <v>-84.484442999999999</v>
      </c>
      <c r="K696" t="s">
        <v>89</v>
      </c>
      <c r="L696">
        <v>1</v>
      </c>
      <c r="M696" t="s">
        <v>90</v>
      </c>
      <c r="N696" t="s">
        <v>91</v>
      </c>
      <c r="O696" t="s">
        <v>169</v>
      </c>
      <c r="S696" t="s">
        <v>515</v>
      </c>
      <c r="T696" t="s">
        <v>159</v>
      </c>
      <c r="U696" t="s">
        <v>150</v>
      </c>
    </row>
    <row r="697" spans="1:21" x14ac:dyDescent="0.3">
      <c r="A697" t="s">
        <v>1675</v>
      </c>
      <c r="B697" s="6" t="str">
        <f>HYPERLINK("http://data.ntsb.gov/carol-repgen/api/Aviation/ReportMain/GenerateNewestReport/99910/pdf","AccidentReport")</f>
        <v>AccidentReport</v>
      </c>
      <c r="C697" t="s">
        <v>1670</v>
      </c>
      <c r="D697" t="s">
        <v>197</v>
      </c>
      <c r="E697" t="s">
        <v>154</v>
      </c>
      <c r="F697" t="s">
        <v>88</v>
      </c>
      <c r="G697">
        <v>30.335832</v>
      </c>
      <c r="H697">
        <v>-98.839447000000007</v>
      </c>
      <c r="K697" t="s">
        <v>89</v>
      </c>
      <c r="L697">
        <v>1</v>
      </c>
      <c r="M697" t="s">
        <v>90</v>
      </c>
      <c r="N697" t="s">
        <v>91</v>
      </c>
      <c r="O697" t="s">
        <v>92</v>
      </c>
      <c r="S697" t="s">
        <v>108</v>
      </c>
      <c r="T697" t="s">
        <v>159</v>
      </c>
      <c r="U697" t="s">
        <v>186</v>
      </c>
    </row>
    <row r="698" spans="1:21" x14ac:dyDescent="0.3">
      <c r="A698" t="s">
        <v>1676</v>
      </c>
      <c r="B698" s="6" t="str">
        <f>HYPERLINK("http://data.ntsb.gov/carol-repgen/api/Aviation/ReportMain/GenerateNewestReport/99954/pdf","AccidentReport")</f>
        <v>AccidentReport</v>
      </c>
      <c r="C698" t="s">
        <v>1670</v>
      </c>
      <c r="D698" t="s">
        <v>1677</v>
      </c>
      <c r="F698" t="s">
        <v>239</v>
      </c>
      <c r="I698">
        <v>1</v>
      </c>
      <c r="J698">
        <v>1</v>
      </c>
      <c r="K698" t="s">
        <v>107</v>
      </c>
      <c r="L698">
        <v>1</v>
      </c>
      <c r="M698" t="s">
        <v>147</v>
      </c>
      <c r="N698" t="s">
        <v>91</v>
      </c>
      <c r="O698" t="s">
        <v>240</v>
      </c>
      <c r="T698" t="s">
        <v>102</v>
      </c>
      <c r="U698" t="s">
        <v>186</v>
      </c>
    </row>
    <row r="699" spans="1:21" x14ac:dyDescent="0.3">
      <c r="A699" t="s">
        <v>1678</v>
      </c>
      <c r="B699" s="6" t="str">
        <f>HYPERLINK("http://data.ntsb.gov/carol-repgen/api/Aviation/ReportMain/GenerateNewestReport/99928/pdf","AccidentReport")</f>
        <v>AccidentReport</v>
      </c>
      <c r="C699" t="s">
        <v>1670</v>
      </c>
      <c r="D699" t="s">
        <v>1679</v>
      </c>
      <c r="E699" t="s">
        <v>176</v>
      </c>
      <c r="F699" t="s">
        <v>88</v>
      </c>
      <c r="G699">
        <v>48.051665999999997</v>
      </c>
      <c r="H699">
        <v>-122.801391</v>
      </c>
      <c r="K699" t="s">
        <v>155</v>
      </c>
      <c r="L699">
        <v>1</v>
      </c>
      <c r="M699" t="s">
        <v>90</v>
      </c>
      <c r="N699" t="s">
        <v>91</v>
      </c>
      <c r="O699" t="s">
        <v>92</v>
      </c>
      <c r="S699" t="s">
        <v>108</v>
      </c>
      <c r="T699" t="s">
        <v>411</v>
      </c>
      <c r="U699" t="s">
        <v>95</v>
      </c>
    </row>
    <row r="700" spans="1:21" x14ac:dyDescent="0.3">
      <c r="A700" t="s">
        <v>1680</v>
      </c>
      <c r="B700" s="6" t="str">
        <f>HYPERLINK("http://data.ntsb.gov/carol-repgen/api/Aviation/ReportMain/GenerateNewestReport/99925/pdf","AccidentReport")</f>
        <v>AccidentReport</v>
      </c>
      <c r="C700" t="s">
        <v>1681</v>
      </c>
      <c r="D700" t="s">
        <v>1682</v>
      </c>
      <c r="E700" t="s">
        <v>122</v>
      </c>
      <c r="F700" t="s">
        <v>88</v>
      </c>
      <c r="G700">
        <v>43.561110999999997</v>
      </c>
      <c r="H700">
        <v>-116.21832999999999</v>
      </c>
      <c r="K700" t="s">
        <v>89</v>
      </c>
      <c r="L700">
        <v>1</v>
      </c>
      <c r="M700" t="s">
        <v>90</v>
      </c>
      <c r="N700" t="s">
        <v>91</v>
      </c>
      <c r="O700" t="s">
        <v>92</v>
      </c>
      <c r="S700" t="s">
        <v>173</v>
      </c>
      <c r="T700" t="s">
        <v>109</v>
      </c>
      <c r="U700" t="s">
        <v>95</v>
      </c>
    </row>
    <row r="701" spans="1:21" x14ac:dyDescent="0.3">
      <c r="A701" t="s">
        <v>1683</v>
      </c>
      <c r="B701" s="6" t="str">
        <f>HYPERLINK("http://data.ntsb.gov/carol-repgen/api/Aviation/ReportMain/GenerateNewestReport/99911/pdf","AccidentReport")</f>
        <v>AccidentReport</v>
      </c>
      <c r="C701" t="s">
        <v>1681</v>
      </c>
      <c r="D701" t="s">
        <v>1684</v>
      </c>
      <c r="E701" t="s">
        <v>165</v>
      </c>
      <c r="F701" t="s">
        <v>88</v>
      </c>
      <c r="G701">
        <v>33.999167999999997</v>
      </c>
      <c r="H701">
        <v>-96.641943999999995</v>
      </c>
      <c r="K701" t="s">
        <v>89</v>
      </c>
      <c r="L701">
        <v>1</v>
      </c>
      <c r="M701" t="s">
        <v>90</v>
      </c>
      <c r="N701" t="s">
        <v>91</v>
      </c>
      <c r="O701" t="s">
        <v>92</v>
      </c>
      <c r="S701" t="s">
        <v>108</v>
      </c>
      <c r="T701" t="s">
        <v>159</v>
      </c>
      <c r="U701" t="s">
        <v>248</v>
      </c>
    </row>
    <row r="702" spans="1:21" x14ac:dyDescent="0.3">
      <c r="A702" t="s">
        <v>1685</v>
      </c>
      <c r="B702" s="6" t="str">
        <f>HYPERLINK("http://data.ntsb.gov/carol-repgen/api/Aviation/ReportMain/GenerateNewestReport/99915/pdf","AccidentReport")</f>
        <v>AccidentReport</v>
      </c>
      <c r="C702" t="s">
        <v>1681</v>
      </c>
      <c r="D702" t="s">
        <v>1686</v>
      </c>
      <c r="E702" t="s">
        <v>106</v>
      </c>
      <c r="F702" t="s">
        <v>88</v>
      </c>
      <c r="G702">
        <v>34.209719999999997</v>
      </c>
      <c r="H702">
        <v>-118.489997</v>
      </c>
      <c r="K702" t="s">
        <v>89</v>
      </c>
      <c r="L702">
        <v>1</v>
      </c>
      <c r="M702" t="s">
        <v>90</v>
      </c>
      <c r="N702" t="s">
        <v>91</v>
      </c>
      <c r="O702" t="s">
        <v>92</v>
      </c>
      <c r="S702" t="s">
        <v>101</v>
      </c>
      <c r="T702" t="s">
        <v>94</v>
      </c>
      <c r="U702" t="s">
        <v>95</v>
      </c>
    </row>
    <row r="703" spans="1:21" x14ac:dyDescent="0.3">
      <c r="A703" t="s">
        <v>1687</v>
      </c>
      <c r="B703" s="6" t="str">
        <f>HYPERLINK("http://data.ntsb.gov/carol-repgen/api/Aviation/ReportMain/GenerateNewestReport/99913/pdf","AccidentReport")</f>
        <v>AccidentReport</v>
      </c>
      <c r="C703" t="s">
        <v>1681</v>
      </c>
      <c r="D703" t="s">
        <v>558</v>
      </c>
      <c r="E703" t="s">
        <v>251</v>
      </c>
      <c r="F703" t="s">
        <v>88</v>
      </c>
      <c r="G703">
        <v>44.670276000000001</v>
      </c>
      <c r="H703">
        <v>-121.155281</v>
      </c>
      <c r="K703" t="s">
        <v>155</v>
      </c>
      <c r="L703">
        <v>1</v>
      </c>
      <c r="M703" t="s">
        <v>90</v>
      </c>
      <c r="N703" t="s">
        <v>91</v>
      </c>
      <c r="O703" t="s">
        <v>92</v>
      </c>
      <c r="S703" t="s">
        <v>108</v>
      </c>
      <c r="T703" t="s">
        <v>159</v>
      </c>
      <c r="U703" t="s">
        <v>119</v>
      </c>
    </row>
    <row r="704" spans="1:21" x14ac:dyDescent="0.3">
      <c r="A704" t="s">
        <v>1688</v>
      </c>
      <c r="B704" s="6" t="str">
        <f>HYPERLINK("http://data.ntsb.gov/carol-repgen/api/Aviation/ReportMain/GenerateNewestReport/99940/pdf","AccidentReport")</f>
        <v>AccidentReport</v>
      </c>
      <c r="C704" t="s">
        <v>1689</v>
      </c>
      <c r="D704" t="s">
        <v>1690</v>
      </c>
      <c r="E704" t="s">
        <v>233</v>
      </c>
      <c r="F704" t="s">
        <v>88</v>
      </c>
      <c r="G704">
        <v>62.477499999999999</v>
      </c>
      <c r="H704">
        <v>-153.51972900000001</v>
      </c>
      <c r="K704" t="s">
        <v>89</v>
      </c>
      <c r="L704">
        <v>1</v>
      </c>
      <c r="M704" t="s">
        <v>90</v>
      </c>
      <c r="N704" t="s">
        <v>91</v>
      </c>
      <c r="O704" t="s">
        <v>92</v>
      </c>
      <c r="S704" t="s">
        <v>108</v>
      </c>
      <c r="T704" t="s">
        <v>159</v>
      </c>
      <c r="U704" t="s">
        <v>248</v>
      </c>
    </row>
    <row r="705" spans="1:21" x14ac:dyDescent="0.3">
      <c r="A705" t="s">
        <v>1691</v>
      </c>
      <c r="B705" s="6" t="str">
        <f>HYPERLINK("http://data.ntsb.gov/carol-repgen/api/Aviation/ReportMain/GenerateNewestReport/99942/pdf","AccidentReport")</f>
        <v>AccidentReport</v>
      </c>
      <c r="C705" t="s">
        <v>1692</v>
      </c>
      <c r="D705" t="s">
        <v>1658</v>
      </c>
      <c r="E705" t="s">
        <v>203</v>
      </c>
      <c r="F705" t="s">
        <v>88</v>
      </c>
      <c r="G705">
        <v>43.991390000000003</v>
      </c>
      <c r="H705">
        <v>-88.559996999999996</v>
      </c>
      <c r="K705" t="s">
        <v>89</v>
      </c>
      <c r="L705">
        <v>1</v>
      </c>
      <c r="M705" t="s">
        <v>90</v>
      </c>
      <c r="N705" t="s">
        <v>91</v>
      </c>
      <c r="O705" t="s">
        <v>92</v>
      </c>
      <c r="S705" t="s">
        <v>108</v>
      </c>
      <c r="T705" t="s">
        <v>94</v>
      </c>
      <c r="U705" t="s">
        <v>95</v>
      </c>
    </row>
    <row r="706" spans="1:21" x14ac:dyDescent="0.3">
      <c r="A706" t="s">
        <v>1693</v>
      </c>
      <c r="B706" s="6" t="str">
        <f>HYPERLINK("http://data.ntsb.gov/carol-repgen/api/Aviation/ReportMain/GenerateNewestReport/99926/pdf","AccidentReport")</f>
        <v>AccidentReport</v>
      </c>
      <c r="C706" t="s">
        <v>1692</v>
      </c>
      <c r="D706" t="s">
        <v>1694</v>
      </c>
      <c r="E706" t="s">
        <v>485</v>
      </c>
      <c r="F706" t="s">
        <v>88</v>
      </c>
      <c r="G706">
        <v>42.850276000000001</v>
      </c>
      <c r="H706">
        <v>-103.084999</v>
      </c>
      <c r="I706">
        <v>3</v>
      </c>
      <c r="J706">
        <v>0</v>
      </c>
      <c r="K706" t="s">
        <v>107</v>
      </c>
      <c r="L706">
        <v>1</v>
      </c>
      <c r="M706" t="s">
        <v>90</v>
      </c>
      <c r="N706" t="s">
        <v>91</v>
      </c>
      <c r="O706" t="s">
        <v>92</v>
      </c>
      <c r="S706" t="s">
        <v>108</v>
      </c>
      <c r="T706" t="s">
        <v>118</v>
      </c>
      <c r="U706" t="s">
        <v>119</v>
      </c>
    </row>
    <row r="707" spans="1:21" x14ac:dyDescent="0.3">
      <c r="A707" t="s">
        <v>1695</v>
      </c>
      <c r="B707" s="6" t="str">
        <f>HYPERLINK("http://data.ntsb.gov/carol-repgen/api/Aviation/ReportMain/GenerateNewestReport/99952/pdf","AccidentReport")</f>
        <v>AccidentReport</v>
      </c>
      <c r="C707" t="s">
        <v>1692</v>
      </c>
      <c r="D707" t="s">
        <v>1696</v>
      </c>
      <c r="E707" t="s">
        <v>641</v>
      </c>
      <c r="F707" t="s">
        <v>88</v>
      </c>
      <c r="G707">
        <v>34.957500000000003</v>
      </c>
      <c r="H707">
        <v>-90.151663999999997</v>
      </c>
      <c r="K707" t="s">
        <v>89</v>
      </c>
      <c r="L707">
        <v>1</v>
      </c>
      <c r="M707" t="s">
        <v>90</v>
      </c>
      <c r="N707" t="s">
        <v>91</v>
      </c>
      <c r="O707" t="s">
        <v>169</v>
      </c>
      <c r="S707" t="s">
        <v>515</v>
      </c>
      <c r="T707" t="s">
        <v>118</v>
      </c>
      <c r="U707" t="s">
        <v>150</v>
      </c>
    </row>
    <row r="708" spans="1:21" x14ac:dyDescent="0.3">
      <c r="A708" t="s">
        <v>1697</v>
      </c>
      <c r="B708" s="6" t="str">
        <f>HYPERLINK("http://data.ntsb.gov/carol-repgen/api/Aviation/ReportMain/GenerateNewestReport/99918/pdf","AccidentReport")</f>
        <v>AccidentReport</v>
      </c>
      <c r="C708" t="s">
        <v>1692</v>
      </c>
      <c r="D708" t="s">
        <v>1698</v>
      </c>
      <c r="E708" t="s">
        <v>356</v>
      </c>
      <c r="F708" t="s">
        <v>88</v>
      </c>
      <c r="G708">
        <v>32.136111999999997</v>
      </c>
      <c r="H708">
        <v>-84.194441999999995</v>
      </c>
      <c r="I708">
        <v>2</v>
      </c>
      <c r="K708" t="s">
        <v>107</v>
      </c>
      <c r="L708">
        <v>1</v>
      </c>
      <c r="M708" t="s">
        <v>147</v>
      </c>
      <c r="N708" t="s">
        <v>91</v>
      </c>
      <c r="O708" t="s">
        <v>92</v>
      </c>
      <c r="S708" t="s">
        <v>108</v>
      </c>
      <c r="T708" t="s">
        <v>279</v>
      </c>
      <c r="U708" t="s">
        <v>150</v>
      </c>
    </row>
    <row r="709" spans="1:21" x14ac:dyDescent="0.3">
      <c r="A709" t="s">
        <v>1699</v>
      </c>
      <c r="B709" s="6" t="str">
        <f>HYPERLINK("http://data.ntsb.gov/carol-repgen/api/Aviation/ReportMain/GenerateNewestReport/99931/pdf","AccidentReport")</f>
        <v>AccidentReport</v>
      </c>
      <c r="C709" t="s">
        <v>1692</v>
      </c>
      <c r="D709" t="s">
        <v>1700</v>
      </c>
      <c r="E709" t="s">
        <v>228</v>
      </c>
      <c r="F709" t="s">
        <v>88</v>
      </c>
      <c r="G709">
        <v>30.202221999999999</v>
      </c>
      <c r="H709">
        <v>-92.775001000000003</v>
      </c>
      <c r="K709" t="s">
        <v>155</v>
      </c>
      <c r="L709">
        <v>1</v>
      </c>
      <c r="M709" t="s">
        <v>90</v>
      </c>
      <c r="N709" t="s">
        <v>91</v>
      </c>
      <c r="O709" t="s">
        <v>169</v>
      </c>
      <c r="S709" t="s">
        <v>515</v>
      </c>
      <c r="T709" t="s">
        <v>113</v>
      </c>
      <c r="U709" t="s">
        <v>103</v>
      </c>
    </row>
    <row r="710" spans="1:21" x14ac:dyDescent="0.3">
      <c r="A710" t="s">
        <v>1701</v>
      </c>
      <c r="B710" s="6" t="str">
        <f>HYPERLINK("http://data.ntsb.gov/carol-repgen/api/Aviation/ReportMain/GenerateNewestReport/99932/pdf","AccidentReport")</f>
        <v>AccidentReport</v>
      </c>
      <c r="C710" t="s">
        <v>1692</v>
      </c>
      <c r="D710" t="s">
        <v>1702</v>
      </c>
      <c r="E710" t="s">
        <v>154</v>
      </c>
      <c r="F710" t="s">
        <v>88</v>
      </c>
      <c r="G710">
        <v>32.201388999999999</v>
      </c>
      <c r="H710">
        <v>-101.688613</v>
      </c>
      <c r="K710" t="s">
        <v>89</v>
      </c>
      <c r="L710">
        <v>1</v>
      </c>
      <c r="M710" t="s">
        <v>90</v>
      </c>
      <c r="N710" t="s">
        <v>91</v>
      </c>
      <c r="O710" t="s">
        <v>169</v>
      </c>
      <c r="S710" t="s">
        <v>515</v>
      </c>
      <c r="T710" t="s">
        <v>113</v>
      </c>
      <c r="U710" t="s">
        <v>103</v>
      </c>
    </row>
    <row r="711" spans="1:21" x14ac:dyDescent="0.3">
      <c r="A711" t="s">
        <v>1703</v>
      </c>
      <c r="B711" s="6" t="str">
        <f>HYPERLINK("http://data.ntsb.gov/carol-repgen/api/Aviation/ReportMain/GenerateNewestReport/99933/pdf","AccidentReport")</f>
        <v>AccidentReport</v>
      </c>
      <c r="C711" t="s">
        <v>1692</v>
      </c>
      <c r="D711" t="s">
        <v>1704</v>
      </c>
      <c r="E711" t="s">
        <v>485</v>
      </c>
      <c r="F711" t="s">
        <v>88</v>
      </c>
      <c r="G711">
        <v>40.167220999999998</v>
      </c>
      <c r="H711">
        <v>-97.714720999999997</v>
      </c>
      <c r="K711" t="s">
        <v>89</v>
      </c>
      <c r="L711">
        <v>1</v>
      </c>
      <c r="M711" t="s">
        <v>90</v>
      </c>
      <c r="N711" t="s">
        <v>91</v>
      </c>
      <c r="O711" t="s">
        <v>169</v>
      </c>
      <c r="S711" t="s">
        <v>515</v>
      </c>
      <c r="T711" t="s">
        <v>113</v>
      </c>
      <c r="U711" t="s">
        <v>103</v>
      </c>
    </row>
    <row r="712" spans="1:21" x14ac:dyDescent="0.3">
      <c r="A712" t="s">
        <v>1705</v>
      </c>
      <c r="B712" s="6" t="str">
        <f>HYPERLINK("http://data.ntsb.gov/carol-repgen/api/Aviation/ReportMain/GenerateNewestReport/99960/pdf","AccidentReport")</f>
        <v>AccidentReport</v>
      </c>
      <c r="C712" t="s">
        <v>1692</v>
      </c>
      <c r="D712" t="s">
        <v>417</v>
      </c>
      <c r="E712" t="s">
        <v>146</v>
      </c>
      <c r="F712" t="s">
        <v>88</v>
      </c>
      <c r="G712">
        <v>36.532501000000003</v>
      </c>
      <c r="H712">
        <v>-86.924162999999993</v>
      </c>
      <c r="K712" t="s">
        <v>89</v>
      </c>
      <c r="L712">
        <v>1</v>
      </c>
      <c r="M712" t="s">
        <v>90</v>
      </c>
      <c r="N712" t="s">
        <v>100</v>
      </c>
      <c r="O712" t="s">
        <v>92</v>
      </c>
      <c r="S712" t="s">
        <v>108</v>
      </c>
      <c r="T712" t="s">
        <v>102</v>
      </c>
      <c r="U712" t="s">
        <v>221</v>
      </c>
    </row>
    <row r="713" spans="1:21" x14ac:dyDescent="0.3">
      <c r="A713" t="s">
        <v>1706</v>
      </c>
      <c r="B713" s="6" t="str">
        <f>HYPERLINK("http://data.ntsb.gov/carol-repgen/api/Aviation/ReportMain/GenerateNewestReport/99950/pdf","AccidentReport")</f>
        <v>AccidentReport</v>
      </c>
      <c r="C713" t="s">
        <v>1707</v>
      </c>
      <c r="D713" t="s">
        <v>1708</v>
      </c>
      <c r="E713" t="s">
        <v>203</v>
      </c>
      <c r="F713" t="s">
        <v>88</v>
      </c>
      <c r="G713">
        <v>43.556944999999999</v>
      </c>
      <c r="H713">
        <v>-90.88861</v>
      </c>
      <c r="K713" t="s">
        <v>155</v>
      </c>
      <c r="L713">
        <v>1</v>
      </c>
      <c r="M713" t="s">
        <v>90</v>
      </c>
      <c r="N713" t="s">
        <v>91</v>
      </c>
      <c r="O713" t="s">
        <v>92</v>
      </c>
      <c r="S713" t="s">
        <v>108</v>
      </c>
      <c r="T713" t="s">
        <v>159</v>
      </c>
      <c r="U713" t="s">
        <v>186</v>
      </c>
    </row>
    <row r="714" spans="1:21" x14ac:dyDescent="0.3">
      <c r="A714" t="s">
        <v>1709</v>
      </c>
      <c r="B714" s="6" t="str">
        <f>HYPERLINK("http://data.ntsb.gov/carol-repgen/api/Aviation/ReportMain/GenerateNewestReport/99964/pdf","AccidentReport")</f>
        <v>AccidentReport</v>
      </c>
      <c r="C714" t="s">
        <v>1707</v>
      </c>
      <c r="D714" t="s">
        <v>1710</v>
      </c>
      <c r="E714" t="s">
        <v>356</v>
      </c>
      <c r="F714" t="s">
        <v>88</v>
      </c>
      <c r="G714">
        <v>31.604998999999999</v>
      </c>
      <c r="H714">
        <v>-84.824995999999999</v>
      </c>
      <c r="I714">
        <v>0</v>
      </c>
      <c r="J714">
        <v>0</v>
      </c>
      <c r="K714" t="s">
        <v>89</v>
      </c>
      <c r="L714">
        <v>1</v>
      </c>
      <c r="M714" t="s">
        <v>90</v>
      </c>
      <c r="N714" t="s">
        <v>91</v>
      </c>
      <c r="O714" t="s">
        <v>169</v>
      </c>
      <c r="S714" t="s">
        <v>515</v>
      </c>
      <c r="T714" t="s">
        <v>159</v>
      </c>
      <c r="U714" t="s">
        <v>186</v>
      </c>
    </row>
    <row r="715" spans="1:21" x14ac:dyDescent="0.3">
      <c r="A715" t="s">
        <v>1711</v>
      </c>
      <c r="B715" s="6" t="str">
        <f>HYPERLINK("http://data.ntsb.gov/carol-repgen/api/Aviation/ReportMain/GenerateNewestReport/99934/pdf","AccidentReport")</f>
        <v>AccidentReport</v>
      </c>
      <c r="C715" t="s">
        <v>1707</v>
      </c>
      <c r="D715" t="s">
        <v>1712</v>
      </c>
      <c r="E715" t="s">
        <v>265</v>
      </c>
      <c r="F715" t="s">
        <v>88</v>
      </c>
      <c r="G715">
        <v>36.981108999999996</v>
      </c>
      <c r="H715">
        <v>-77.003050999999999</v>
      </c>
      <c r="K715" t="s">
        <v>89</v>
      </c>
      <c r="L715">
        <v>1</v>
      </c>
      <c r="M715" t="s">
        <v>90</v>
      </c>
      <c r="N715" t="s">
        <v>91</v>
      </c>
      <c r="O715" t="s">
        <v>92</v>
      </c>
      <c r="S715" t="s">
        <v>108</v>
      </c>
      <c r="T715" t="s">
        <v>118</v>
      </c>
      <c r="U715" t="s">
        <v>248</v>
      </c>
    </row>
    <row r="716" spans="1:21" x14ac:dyDescent="0.3">
      <c r="A716" t="s">
        <v>1713</v>
      </c>
      <c r="B716" s="6" t="str">
        <f>HYPERLINK("http://data.ntsb.gov/carol-repgen/api/Aviation/ReportMain/GenerateNewestReport/99946/pdf","AccidentReport")</f>
        <v>AccidentReport</v>
      </c>
      <c r="C716" t="s">
        <v>1714</v>
      </c>
      <c r="D716" t="s">
        <v>1715</v>
      </c>
      <c r="E716" t="s">
        <v>180</v>
      </c>
      <c r="F716" t="s">
        <v>88</v>
      </c>
      <c r="G716">
        <v>43.774723000000002</v>
      </c>
      <c r="H716">
        <v>-98.038612000000001</v>
      </c>
      <c r="K716" t="s">
        <v>89</v>
      </c>
      <c r="L716">
        <v>1</v>
      </c>
      <c r="M716" t="s">
        <v>90</v>
      </c>
      <c r="N716" t="s">
        <v>91</v>
      </c>
      <c r="O716" t="s">
        <v>92</v>
      </c>
      <c r="S716" t="s">
        <v>108</v>
      </c>
      <c r="T716" t="s">
        <v>94</v>
      </c>
      <c r="U716" t="s">
        <v>95</v>
      </c>
    </row>
    <row r="717" spans="1:21" x14ac:dyDescent="0.3">
      <c r="A717" t="s">
        <v>1716</v>
      </c>
      <c r="B717" s="6" t="str">
        <f>HYPERLINK("http://data.ntsb.gov/carol-repgen/api/Aviation/ReportMain/GenerateNewestReport/99969/pdf","AccidentReport")</f>
        <v>AccidentReport</v>
      </c>
      <c r="C717" t="s">
        <v>1714</v>
      </c>
      <c r="D717" t="s">
        <v>1717</v>
      </c>
      <c r="E717" t="s">
        <v>651</v>
      </c>
      <c r="F717" t="s">
        <v>88</v>
      </c>
      <c r="G717">
        <v>41.597220999999998</v>
      </c>
      <c r="H717">
        <v>-74.458335000000005</v>
      </c>
      <c r="K717" t="s">
        <v>89</v>
      </c>
      <c r="L717">
        <v>1</v>
      </c>
      <c r="M717" t="s">
        <v>90</v>
      </c>
      <c r="N717" t="s">
        <v>893</v>
      </c>
      <c r="O717" t="s">
        <v>92</v>
      </c>
      <c r="S717" t="s">
        <v>108</v>
      </c>
      <c r="T717" t="s">
        <v>1718</v>
      </c>
      <c r="U717" t="s">
        <v>248</v>
      </c>
    </row>
    <row r="718" spans="1:21" x14ac:dyDescent="0.3">
      <c r="A718" t="s">
        <v>1719</v>
      </c>
      <c r="B718" s="6" t="str">
        <f>HYPERLINK("http://data.ntsb.gov/carol-repgen/api/Aviation/ReportMain/GenerateNewestReport/100085/pdf","AccidentReport")</f>
        <v>AccidentReport</v>
      </c>
      <c r="C718" t="s">
        <v>1714</v>
      </c>
      <c r="D718" t="s">
        <v>1720</v>
      </c>
      <c r="E718" t="s">
        <v>176</v>
      </c>
      <c r="F718" t="s">
        <v>88</v>
      </c>
      <c r="G718">
        <v>47.559443999999999</v>
      </c>
      <c r="H718">
        <v>-121.863609</v>
      </c>
      <c r="K718" t="s">
        <v>155</v>
      </c>
      <c r="L718">
        <v>1</v>
      </c>
      <c r="M718" t="s">
        <v>90</v>
      </c>
      <c r="N718" t="s">
        <v>91</v>
      </c>
      <c r="O718" t="s">
        <v>92</v>
      </c>
      <c r="S718" t="s">
        <v>108</v>
      </c>
      <c r="T718" t="s">
        <v>109</v>
      </c>
      <c r="U718" t="s">
        <v>95</v>
      </c>
    </row>
    <row r="719" spans="1:21" x14ac:dyDescent="0.3">
      <c r="A719" t="s">
        <v>1721</v>
      </c>
      <c r="B719" s="6" t="str">
        <f>HYPERLINK("http://data.ntsb.gov/carol-repgen/api/Aviation/ReportMain/GenerateNewestReport/99945/pdf","AccidentReport")</f>
        <v>AccidentReport</v>
      </c>
      <c r="C719" t="s">
        <v>1722</v>
      </c>
      <c r="D719" t="s">
        <v>1723</v>
      </c>
      <c r="E719" t="s">
        <v>485</v>
      </c>
      <c r="F719" t="s">
        <v>88</v>
      </c>
      <c r="G719">
        <v>41.564166999999998</v>
      </c>
      <c r="H719">
        <v>-96.140829999999994</v>
      </c>
      <c r="K719" t="s">
        <v>155</v>
      </c>
      <c r="L719">
        <v>1</v>
      </c>
      <c r="M719" t="s">
        <v>90</v>
      </c>
      <c r="N719" t="s">
        <v>100</v>
      </c>
      <c r="O719" t="s">
        <v>169</v>
      </c>
      <c r="S719" t="s">
        <v>515</v>
      </c>
      <c r="T719" t="s">
        <v>139</v>
      </c>
      <c r="U719" t="s">
        <v>103</v>
      </c>
    </row>
    <row r="720" spans="1:21" x14ac:dyDescent="0.3">
      <c r="A720" t="s">
        <v>1724</v>
      </c>
      <c r="B720" s="6" t="str">
        <f>HYPERLINK("http://data.ntsb.gov/carol-repgen/api/Aviation/ReportMain/GenerateNewestReport/99948/pdf","AccidentReport")</f>
        <v>AccidentReport</v>
      </c>
      <c r="C720" t="s">
        <v>1722</v>
      </c>
      <c r="D720" t="s">
        <v>722</v>
      </c>
      <c r="E720" t="s">
        <v>138</v>
      </c>
      <c r="F720" t="s">
        <v>88</v>
      </c>
      <c r="G720">
        <v>43.772219999999997</v>
      </c>
      <c r="H720">
        <v>-84.946112999999997</v>
      </c>
      <c r="J720">
        <v>1</v>
      </c>
      <c r="K720" t="s">
        <v>99</v>
      </c>
      <c r="L720">
        <v>1</v>
      </c>
      <c r="M720" t="s">
        <v>90</v>
      </c>
      <c r="N720" t="s">
        <v>91</v>
      </c>
      <c r="O720" t="s">
        <v>92</v>
      </c>
      <c r="S720" t="s">
        <v>173</v>
      </c>
      <c r="T720" t="s">
        <v>102</v>
      </c>
      <c r="U720" t="s">
        <v>150</v>
      </c>
    </row>
    <row r="721" spans="1:21" x14ac:dyDescent="0.3">
      <c r="A721" t="s">
        <v>1725</v>
      </c>
      <c r="B721" s="6" t="str">
        <f>HYPERLINK("http://data.ntsb.gov/carol-repgen/api/Aviation/ReportMain/GenerateNewestReport/99971/pdf","AccidentReport")</f>
        <v>AccidentReport</v>
      </c>
      <c r="C721" t="s">
        <v>1722</v>
      </c>
      <c r="D721" t="s">
        <v>1726</v>
      </c>
      <c r="E721" t="s">
        <v>154</v>
      </c>
      <c r="F721" t="s">
        <v>88</v>
      </c>
      <c r="G721">
        <v>31.807221999999999</v>
      </c>
      <c r="H721">
        <v>-106.37638800000001</v>
      </c>
      <c r="K721" t="s">
        <v>89</v>
      </c>
      <c r="L721">
        <v>1</v>
      </c>
      <c r="M721" t="s">
        <v>90</v>
      </c>
      <c r="N721" t="s">
        <v>91</v>
      </c>
      <c r="O721" t="s">
        <v>92</v>
      </c>
      <c r="S721" t="s">
        <v>93</v>
      </c>
      <c r="T721" t="s">
        <v>139</v>
      </c>
      <c r="U721" t="s">
        <v>119</v>
      </c>
    </row>
    <row r="722" spans="1:21" x14ac:dyDescent="0.3">
      <c r="A722" t="s">
        <v>1727</v>
      </c>
      <c r="B722" s="6" t="str">
        <f>HYPERLINK("http://data.ntsb.gov/carol-repgen/api/Aviation/ReportMain/GenerateNewestReport/100003/pdf","AccidentReport")</f>
        <v>AccidentReport</v>
      </c>
      <c r="C722" t="s">
        <v>1722</v>
      </c>
      <c r="D722" t="s">
        <v>1728</v>
      </c>
      <c r="E722" t="s">
        <v>360</v>
      </c>
      <c r="F722" t="s">
        <v>88</v>
      </c>
      <c r="G722">
        <v>41.783054</v>
      </c>
      <c r="H722">
        <v>-87.745001999999999</v>
      </c>
      <c r="K722" t="s">
        <v>89</v>
      </c>
      <c r="L722">
        <v>1</v>
      </c>
      <c r="M722" t="s">
        <v>90</v>
      </c>
      <c r="N722" t="s">
        <v>91</v>
      </c>
      <c r="O722" t="s">
        <v>92</v>
      </c>
      <c r="S722" t="s">
        <v>108</v>
      </c>
      <c r="T722" t="s">
        <v>139</v>
      </c>
      <c r="U722" t="s">
        <v>95</v>
      </c>
    </row>
    <row r="723" spans="1:21" x14ac:dyDescent="0.3">
      <c r="A723" t="s">
        <v>1729</v>
      </c>
      <c r="B723" s="6" t="str">
        <f>HYPERLINK("http://data.ntsb.gov/carol-repgen/api/Aviation/ReportMain/GenerateNewestReport/99941/pdf","AccidentReport")</f>
        <v>AccidentReport</v>
      </c>
      <c r="C723" t="s">
        <v>1722</v>
      </c>
      <c r="D723" t="s">
        <v>1133</v>
      </c>
      <c r="E723" t="s">
        <v>146</v>
      </c>
      <c r="F723" t="s">
        <v>88</v>
      </c>
      <c r="G723">
        <v>36.058886999999999</v>
      </c>
      <c r="H723">
        <v>-85.527777999999998</v>
      </c>
      <c r="K723" t="s">
        <v>89</v>
      </c>
      <c r="L723">
        <v>1</v>
      </c>
      <c r="M723" t="s">
        <v>90</v>
      </c>
      <c r="N723" t="s">
        <v>91</v>
      </c>
      <c r="O723" t="s">
        <v>92</v>
      </c>
      <c r="S723" t="s">
        <v>173</v>
      </c>
      <c r="T723" t="s">
        <v>94</v>
      </c>
      <c r="U723" t="s">
        <v>248</v>
      </c>
    </row>
    <row r="724" spans="1:21" x14ac:dyDescent="0.3">
      <c r="A724" t="s">
        <v>1730</v>
      </c>
      <c r="B724" s="6" t="str">
        <f>HYPERLINK("http://data.ntsb.gov/carol-repgen/api/Aviation/ReportMain/GenerateNewestReport/99947/pdf","AccidentReport")</f>
        <v>AccidentReport</v>
      </c>
      <c r="C724" t="s">
        <v>1722</v>
      </c>
      <c r="D724" t="s">
        <v>1731</v>
      </c>
      <c r="E724" t="s">
        <v>146</v>
      </c>
      <c r="F724" t="s">
        <v>88</v>
      </c>
      <c r="G724">
        <v>36.447775999999998</v>
      </c>
      <c r="H724">
        <v>-88.722503000000003</v>
      </c>
      <c r="K724" t="s">
        <v>155</v>
      </c>
      <c r="L724">
        <v>1</v>
      </c>
      <c r="M724" t="s">
        <v>90</v>
      </c>
      <c r="N724" t="s">
        <v>100</v>
      </c>
      <c r="O724" t="s">
        <v>169</v>
      </c>
      <c r="S724" t="s">
        <v>515</v>
      </c>
      <c r="T724" t="s">
        <v>113</v>
      </c>
      <c r="U724" t="s">
        <v>103</v>
      </c>
    </row>
    <row r="725" spans="1:21" x14ac:dyDescent="0.3">
      <c r="A725" t="s">
        <v>1732</v>
      </c>
      <c r="B725" s="6" t="str">
        <f>HYPERLINK("http://data.ntsb.gov/carol-repgen/api/Aviation/ReportMain/GenerateNewestReport/99968/pdf","AccidentReport")</f>
        <v>AccidentReport</v>
      </c>
      <c r="C725" t="s">
        <v>1722</v>
      </c>
      <c r="D725" t="s">
        <v>1733</v>
      </c>
      <c r="E725" t="s">
        <v>536</v>
      </c>
      <c r="F725" t="s">
        <v>88</v>
      </c>
      <c r="G725">
        <v>39.168334000000002</v>
      </c>
      <c r="H725">
        <v>-77.166113999999993</v>
      </c>
      <c r="K725" t="s">
        <v>89</v>
      </c>
      <c r="L725">
        <v>1</v>
      </c>
      <c r="M725" t="s">
        <v>155</v>
      </c>
      <c r="N725" t="s">
        <v>91</v>
      </c>
      <c r="O725" t="s">
        <v>92</v>
      </c>
      <c r="S725" t="s">
        <v>93</v>
      </c>
      <c r="T725" t="s">
        <v>220</v>
      </c>
      <c r="U725" t="s">
        <v>221</v>
      </c>
    </row>
    <row r="726" spans="1:21" x14ac:dyDescent="0.3">
      <c r="A726" t="s">
        <v>1732</v>
      </c>
      <c r="B726" s="6" t="str">
        <f>HYPERLINK("http://data.ntsb.gov/carol-repgen/api/Aviation/ReportMain/GenerateNewestReport/99968/pdf","AccidentReport")</f>
        <v>AccidentReport</v>
      </c>
      <c r="C726" t="s">
        <v>1722</v>
      </c>
      <c r="D726" t="s">
        <v>1733</v>
      </c>
      <c r="E726" t="s">
        <v>536</v>
      </c>
      <c r="F726" t="s">
        <v>88</v>
      </c>
      <c r="G726">
        <v>39.168334000000002</v>
      </c>
      <c r="H726">
        <v>-77.166113999999993</v>
      </c>
      <c r="K726" t="s">
        <v>89</v>
      </c>
      <c r="L726">
        <v>2</v>
      </c>
      <c r="M726" t="s">
        <v>90</v>
      </c>
      <c r="N726" t="s">
        <v>91</v>
      </c>
      <c r="O726" t="s">
        <v>92</v>
      </c>
      <c r="S726" t="s">
        <v>108</v>
      </c>
      <c r="T726" t="s">
        <v>220</v>
      </c>
      <c r="U726" t="s">
        <v>221</v>
      </c>
    </row>
    <row r="727" spans="1:21" x14ac:dyDescent="0.3">
      <c r="A727" t="s">
        <v>1734</v>
      </c>
      <c r="B727" s="6" t="str">
        <f>HYPERLINK("http://data.ntsb.gov/carol-repgen/api/Aviation/ReportMain/GenerateNewestReport/99992/pdf","AccidentReport")</f>
        <v>AccidentReport</v>
      </c>
      <c r="C727" t="s">
        <v>1722</v>
      </c>
      <c r="D727" t="s">
        <v>1735</v>
      </c>
      <c r="E727" t="s">
        <v>122</v>
      </c>
      <c r="F727" t="s">
        <v>88</v>
      </c>
      <c r="G727">
        <v>43.853332000000002</v>
      </c>
      <c r="H727">
        <v>-113.51277899999999</v>
      </c>
      <c r="K727" t="s">
        <v>89</v>
      </c>
      <c r="L727">
        <v>1</v>
      </c>
      <c r="M727" t="s">
        <v>90</v>
      </c>
      <c r="N727" t="s">
        <v>893</v>
      </c>
      <c r="O727" t="s">
        <v>92</v>
      </c>
      <c r="S727" t="s">
        <v>108</v>
      </c>
      <c r="T727" t="s">
        <v>94</v>
      </c>
      <c r="U727" t="s">
        <v>95</v>
      </c>
    </row>
    <row r="728" spans="1:21" x14ac:dyDescent="0.3">
      <c r="A728" t="s">
        <v>1736</v>
      </c>
      <c r="B728" s="6" t="str">
        <f>HYPERLINK("http://data.ntsb.gov/carol-repgen/api/Aviation/ReportMain/GenerateNewestReport/100099/pdf","AccidentReport")</f>
        <v>AccidentReport</v>
      </c>
      <c r="C728" t="s">
        <v>1722</v>
      </c>
      <c r="D728" t="s">
        <v>1737</v>
      </c>
      <c r="E728" t="s">
        <v>233</v>
      </c>
      <c r="F728" t="s">
        <v>88</v>
      </c>
      <c r="G728">
        <v>63.329444000000002</v>
      </c>
      <c r="H728">
        <v>-142.95195000000001</v>
      </c>
      <c r="K728" t="s">
        <v>89</v>
      </c>
      <c r="L728">
        <v>1</v>
      </c>
      <c r="M728" t="s">
        <v>90</v>
      </c>
      <c r="N728" t="s">
        <v>91</v>
      </c>
      <c r="O728" t="s">
        <v>92</v>
      </c>
      <c r="S728" t="s">
        <v>108</v>
      </c>
      <c r="T728" t="s">
        <v>94</v>
      </c>
      <c r="U728" t="s">
        <v>95</v>
      </c>
    </row>
    <row r="729" spans="1:21" x14ac:dyDescent="0.3">
      <c r="A729" t="s">
        <v>1738</v>
      </c>
      <c r="B729" s="6" t="str">
        <f>HYPERLINK("http://data.ntsb.gov/carol-repgen/api/Aviation/ReportMain/GenerateNewestReport/99965/pdf","AccidentReport")</f>
        <v>AccidentReport</v>
      </c>
      <c r="C729" t="s">
        <v>1722</v>
      </c>
      <c r="D729" t="s">
        <v>1739</v>
      </c>
      <c r="E729" t="s">
        <v>251</v>
      </c>
      <c r="F729" t="s">
        <v>88</v>
      </c>
      <c r="G729">
        <v>44.121386999999999</v>
      </c>
      <c r="H729">
        <v>-123.207221</v>
      </c>
      <c r="J729">
        <v>2</v>
      </c>
      <c r="K729" t="s">
        <v>99</v>
      </c>
      <c r="L729">
        <v>1</v>
      </c>
      <c r="M729" t="s">
        <v>90</v>
      </c>
      <c r="N729" t="s">
        <v>100</v>
      </c>
      <c r="O729" t="s">
        <v>92</v>
      </c>
      <c r="S729" t="s">
        <v>170</v>
      </c>
      <c r="T729" t="s">
        <v>229</v>
      </c>
      <c r="U729" t="s">
        <v>119</v>
      </c>
    </row>
    <row r="730" spans="1:21" x14ac:dyDescent="0.3">
      <c r="A730" t="s">
        <v>1740</v>
      </c>
      <c r="B730" s="6" t="str">
        <f>HYPERLINK("http://data.ntsb.gov/carol-repgen/api/Aviation/ReportMain/GenerateNewestReport/99944/pdf","AccidentReport")</f>
        <v>AccidentReport</v>
      </c>
      <c r="C730" t="s">
        <v>1741</v>
      </c>
      <c r="D730" t="s">
        <v>1658</v>
      </c>
      <c r="E730" t="s">
        <v>203</v>
      </c>
      <c r="F730" t="s">
        <v>88</v>
      </c>
      <c r="G730">
        <v>43.954723000000001</v>
      </c>
      <c r="H730">
        <v>-88.664169000000001</v>
      </c>
      <c r="K730" t="s">
        <v>89</v>
      </c>
      <c r="L730">
        <v>1</v>
      </c>
      <c r="M730" t="s">
        <v>90</v>
      </c>
      <c r="N730" t="s">
        <v>91</v>
      </c>
      <c r="O730" t="s">
        <v>92</v>
      </c>
      <c r="S730" t="s">
        <v>108</v>
      </c>
      <c r="T730" t="s">
        <v>159</v>
      </c>
      <c r="U730" t="s">
        <v>186</v>
      </c>
    </row>
    <row r="731" spans="1:21" x14ac:dyDescent="0.3">
      <c r="A731" t="s">
        <v>1742</v>
      </c>
      <c r="B731" s="6" t="str">
        <f>HYPERLINK("http://data.ntsb.gov/carol-repgen/api/Aviation/ReportMain/GenerateNewestReport/99943/pdf","AccidentReport")</f>
        <v>AccidentReport</v>
      </c>
      <c r="C731" t="s">
        <v>1741</v>
      </c>
      <c r="D731" t="s">
        <v>1378</v>
      </c>
      <c r="E731" t="s">
        <v>154</v>
      </c>
      <c r="F731" t="s">
        <v>88</v>
      </c>
      <c r="G731">
        <v>33.629942999999997</v>
      </c>
      <c r="H731">
        <v>-97.150299000000004</v>
      </c>
      <c r="I731">
        <v>2</v>
      </c>
      <c r="K731" t="s">
        <v>107</v>
      </c>
      <c r="L731">
        <v>1</v>
      </c>
      <c r="M731" t="s">
        <v>147</v>
      </c>
      <c r="N731" t="s">
        <v>91</v>
      </c>
      <c r="O731" t="s">
        <v>92</v>
      </c>
      <c r="S731" t="s">
        <v>93</v>
      </c>
      <c r="T731" t="s">
        <v>102</v>
      </c>
      <c r="U731" t="s">
        <v>95</v>
      </c>
    </row>
    <row r="732" spans="1:21" x14ac:dyDescent="0.3">
      <c r="A732" t="s">
        <v>1743</v>
      </c>
      <c r="B732" s="6" t="str">
        <f>HYPERLINK("http://data.ntsb.gov/carol-repgen/api/Aviation/ReportMain/GenerateNewestReport/99962/pdf","AccidentReport")</f>
        <v>AccidentReport</v>
      </c>
      <c r="C732" t="s">
        <v>1741</v>
      </c>
      <c r="D732" t="s">
        <v>348</v>
      </c>
      <c r="E732" t="s">
        <v>265</v>
      </c>
      <c r="F732" t="s">
        <v>88</v>
      </c>
      <c r="G732">
        <v>37.406387000000002</v>
      </c>
      <c r="H732">
        <v>-77.524719000000005</v>
      </c>
      <c r="K732" t="s">
        <v>89</v>
      </c>
      <c r="L732">
        <v>1</v>
      </c>
      <c r="M732" t="s">
        <v>90</v>
      </c>
      <c r="N732" t="s">
        <v>91</v>
      </c>
      <c r="O732" t="s">
        <v>92</v>
      </c>
      <c r="S732" t="s">
        <v>108</v>
      </c>
      <c r="T732" t="s">
        <v>411</v>
      </c>
      <c r="U732" t="s">
        <v>95</v>
      </c>
    </row>
    <row r="733" spans="1:21" x14ac:dyDescent="0.3">
      <c r="A733" t="s">
        <v>1744</v>
      </c>
      <c r="B733" s="6" t="str">
        <f>HYPERLINK("http://data.ntsb.gov/carol-repgen/api/Aviation/ReportMain/GenerateNewestReport/99975/pdf","AccidentReport")</f>
        <v>AccidentReport</v>
      </c>
      <c r="C733" t="s">
        <v>1741</v>
      </c>
      <c r="D733" t="s">
        <v>1745</v>
      </c>
      <c r="E733" t="s">
        <v>260</v>
      </c>
      <c r="F733" t="s">
        <v>88</v>
      </c>
      <c r="G733">
        <v>38.058055000000003</v>
      </c>
      <c r="H733">
        <v>-83.979445999999996</v>
      </c>
      <c r="K733" t="s">
        <v>89</v>
      </c>
      <c r="L733">
        <v>1</v>
      </c>
      <c r="M733" t="s">
        <v>90</v>
      </c>
      <c r="N733" t="s">
        <v>91</v>
      </c>
      <c r="O733" t="s">
        <v>92</v>
      </c>
      <c r="S733" t="s">
        <v>108</v>
      </c>
      <c r="T733" t="s">
        <v>94</v>
      </c>
      <c r="U733" t="s">
        <v>248</v>
      </c>
    </row>
    <row r="734" spans="1:21" x14ac:dyDescent="0.3">
      <c r="A734" t="s">
        <v>1746</v>
      </c>
      <c r="B734" s="6" t="str">
        <f>HYPERLINK("http://data.ntsb.gov/carol-repgen/api/Aviation/ReportMain/GenerateNewestReport/99963/pdf","AccidentReport")</f>
        <v>AccidentReport</v>
      </c>
      <c r="C734" t="s">
        <v>1747</v>
      </c>
      <c r="D734" t="s">
        <v>1748</v>
      </c>
      <c r="E734" t="s">
        <v>192</v>
      </c>
      <c r="F734" t="s">
        <v>88</v>
      </c>
      <c r="G734">
        <v>40.448332999999998</v>
      </c>
      <c r="H734">
        <v>-109.506942</v>
      </c>
      <c r="J734">
        <v>2</v>
      </c>
      <c r="K734" t="s">
        <v>99</v>
      </c>
      <c r="L734">
        <v>1</v>
      </c>
      <c r="M734" t="s">
        <v>90</v>
      </c>
      <c r="N734" t="s">
        <v>91</v>
      </c>
      <c r="O734" t="s">
        <v>92</v>
      </c>
      <c r="S734" t="s">
        <v>93</v>
      </c>
      <c r="T734" t="s">
        <v>102</v>
      </c>
      <c r="U734" t="s">
        <v>248</v>
      </c>
    </row>
    <row r="735" spans="1:21" x14ac:dyDescent="0.3">
      <c r="A735" t="s">
        <v>1749</v>
      </c>
      <c r="B735" s="6" t="str">
        <f>HYPERLINK("http://data.ntsb.gov/carol-repgen/api/Aviation/ReportMain/GenerateNewestReport/100043/pdf","AccidentReport")</f>
        <v>AccidentReport</v>
      </c>
      <c r="C735" t="s">
        <v>1750</v>
      </c>
      <c r="D735" t="s">
        <v>1751</v>
      </c>
      <c r="E735" t="s">
        <v>786</v>
      </c>
      <c r="F735" t="s">
        <v>88</v>
      </c>
      <c r="G735">
        <v>30.514721999999999</v>
      </c>
      <c r="H735">
        <v>-87.871948000000003</v>
      </c>
      <c r="K735" t="s">
        <v>89</v>
      </c>
      <c r="L735">
        <v>1</v>
      </c>
      <c r="M735" t="s">
        <v>90</v>
      </c>
      <c r="N735" t="s">
        <v>91</v>
      </c>
      <c r="O735" t="s">
        <v>92</v>
      </c>
      <c r="S735" t="s">
        <v>93</v>
      </c>
      <c r="T735" t="s">
        <v>159</v>
      </c>
      <c r="U735" t="s">
        <v>186</v>
      </c>
    </row>
    <row r="736" spans="1:21" x14ac:dyDescent="0.3">
      <c r="A736" t="s">
        <v>1752</v>
      </c>
      <c r="B736" s="6" t="str">
        <f>HYPERLINK("http://data.ntsb.gov/carol-repgen/api/Aviation/ReportMain/GenerateNewestReport/100067/pdf","AccidentReport")</f>
        <v>AccidentReport</v>
      </c>
      <c r="C736" t="s">
        <v>1750</v>
      </c>
      <c r="D736" t="s">
        <v>1753</v>
      </c>
      <c r="F736" t="s">
        <v>874</v>
      </c>
      <c r="G736">
        <v>48.471944000000001</v>
      </c>
      <c r="H736">
        <v>-77.047777999999994</v>
      </c>
      <c r="I736">
        <v>1</v>
      </c>
      <c r="K736" t="s">
        <v>107</v>
      </c>
      <c r="L736">
        <v>1</v>
      </c>
      <c r="M736" t="s">
        <v>147</v>
      </c>
      <c r="N736" t="s">
        <v>91</v>
      </c>
      <c r="O736" t="s">
        <v>92</v>
      </c>
      <c r="S736" t="s">
        <v>108</v>
      </c>
      <c r="T736" t="s">
        <v>102</v>
      </c>
      <c r="U736" t="s">
        <v>186</v>
      </c>
    </row>
    <row r="737" spans="1:21" x14ac:dyDescent="0.3">
      <c r="A737" t="s">
        <v>1754</v>
      </c>
      <c r="B737" s="6" t="str">
        <f>HYPERLINK("http://data.ntsb.gov/carol-repgen/api/Aviation/ReportMain/GenerateNewestReport/99972/pdf","AccidentReport")</f>
        <v>AccidentReport</v>
      </c>
      <c r="C737" t="s">
        <v>1750</v>
      </c>
      <c r="D737" t="s">
        <v>1755</v>
      </c>
      <c r="E737" t="s">
        <v>146</v>
      </c>
      <c r="F737" t="s">
        <v>88</v>
      </c>
      <c r="G737">
        <v>35.031664999999997</v>
      </c>
      <c r="H737">
        <v>-85.204718999999997</v>
      </c>
      <c r="I737">
        <v>0</v>
      </c>
      <c r="J737">
        <v>0</v>
      </c>
      <c r="K737" t="s">
        <v>89</v>
      </c>
      <c r="L737">
        <v>1</v>
      </c>
      <c r="M737" t="s">
        <v>90</v>
      </c>
      <c r="N737" t="s">
        <v>91</v>
      </c>
      <c r="O737" t="s">
        <v>92</v>
      </c>
      <c r="S737" t="s">
        <v>108</v>
      </c>
      <c r="T737" t="s">
        <v>139</v>
      </c>
      <c r="U737" t="s">
        <v>150</v>
      </c>
    </row>
    <row r="738" spans="1:21" x14ac:dyDescent="0.3">
      <c r="A738" t="s">
        <v>1756</v>
      </c>
      <c r="B738" s="6" t="str">
        <f>HYPERLINK("http://data.ntsb.gov/carol-repgen/api/Aviation/ReportMain/GenerateNewestReport/99961/pdf","AccidentReport")</f>
        <v>AccidentReport</v>
      </c>
      <c r="C738" t="s">
        <v>1750</v>
      </c>
      <c r="D738" t="s">
        <v>1757</v>
      </c>
      <c r="E738" t="s">
        <v>536</v>
      </c>
      <c r="F738" t="s">
        <v>88</v>
      </c>
      <c r="G738">
        <v>39.466945000000003</v>
      </c>
      <c r="H738">
        <v>-77.017500999999996</v>
      </c>
      <c r="K738" t="s">
        <v>155</v>
      </c>
      <c r="L738">
        <v>1</v>
      </c>
      <c r="M738" t="s">
        <v>90</v>
      </c>
      <c r="N738" t="s">
        <v>91</v>
      </c>
      <c r="O738" t="s">
        <v>92</v>
      </c>
      <c r="S738" t="s">
        <v>108</v>
      </c>
      <c r="T738" t="s">
        <v>109</v>
      </c>
      <c r="U738" t="s">
        <v>95</v>
      </c>
    </row>
    <row r="739" spans="1:21" x14ac:dyDescent="0.3">
      <c r="A739" t="s">
        <v>1758</v>
      </c>
      <c r="B739" s="6" t="str">
        <f>HYPERLINK("http://data.ntsb.gov/carol-repgen/api/Aviation/ReportMain/GenerateNewestReport/99973/pdf","AccidentReport")</f>
        <v>AccidentReport</v>
      </c>
      <c r="C739" t="s">
        <v>1750</v>
      </c>
      <c r="D739" t="s">
        <v>666</v>
      </c>
      <c r="E739" t="s">
        <v>106</v>
      </c>
      <c r="F739" t="s">
        <v>88</v>
      </c>
      <c r="G739">
        <v>38.724165999999997</v>
      </c>
      <c r="H739">
        <v>-120.753334</v>
      </c>
      <c r="K739" t="s">
        <v>89</v>
      </c>
      <c r="L739">
        <v>1</v>
      </c>
      <c r="M739" t="s">
        <v>90</v>
      </c>
      <c r="N739" t="s">
        <v>91</v>
      </c>
      <c r="O739" t="s">
        <v>92</v>
      </c>
      <c r="S739" t="s">
        <v>108</v>
      </c>
      <c r="T739" t="s">
        <v>109</v>
      </c>
      <c r="U739" t="s">
        <v>95</v>
      </c>
    </row>
    <row r="740" spans="1:21" x14ac:dyDescent="0.3">
      <c r="A740" t="s">
        <v>1759</v>
      </c>
      <c r="B740" s="6" t="str">
        <f>HYPERLINK("http://data.ntsb.gov/carol-repgen/api/Aviation/ReportMain/GenerateNewestReport/99977/pdf","AccidentReport")</f>
        <v>AccidentReport</v>
      </c>
      <c r="C740" t="s">
        <v>1750</v>
      </c>
      <c r="D740" t="s">
        <v>1760</v>
      </c>
      <c r="E740" t="s">
        <v>87</v>
      </c>
      <c r="F740" t="s">
        <v>88</v>
      </c>
      <c r="G740">
        <v>46.70111</v>
      </c>
      <c r="H740">
        <v>-92.503608</v>
      </c>
      <c r="K740" t="s">
        <v>89</v>
      </c>
      <c r="L740">
        <v>1</v>
      </c>
      <c r="M740" t="s">
        <v>90</v>
      </c>
      <c r="N740" t="s">
        <v>91</v>
      </c>
      <c r="O740" t="s">
        <v>92</v>
      </c>
      <c r="S740" t="s">
        <v>108</v>
      </c>
      <c r="T740" t="s">
        <v>109</v>
      </c>
      <c r="U740" t="s">
        <v>95</v>
      </c>
    </row>
    <row r="741" spans="1:21" x14ac:dyDescent="0.3">
      <c r="A741" t="s">
        <v>1761</v>
      </c>
      <c r="B741" s="6" t="str">
        <f>HYPERLINK("http://data.ntsb.gov/carol-repgen/api/Aviation/ReportMain/GenerateNewestReport/99978/pdf","AccidentReport")</f>
        <v>AccidentReport</v>
      </c>
      <c r="C741" t="s">
        <v>1750</v>
      </c>
      <c r="D741" t="s">
        <v>1762</v>
      </c>
      <c r="E741" t="s">
        <v>112</v>
      </c>
      <c r="F741" t="s">
        <v>88</v>
      </c>
      <c r="G741">
        <v>47.776668000000001</v>
      </c>
      <c r="H741">
        <v>-115.476112</v>
      </c>
      <c r="J741">
        <v>2</v>
      </c>
      <c r="K741" t="s">
        <v>99</v>
      </c>
      <c r="L741">
        <v>1</v>
      </c>
      <c r="M741" t="s">
        <v>90</v>
      </c>
      <c r="N741" t="s">
        <v>91</v>
      </c>
      <c r="O741" t="s">
        <v>92</v>
      </c>
      <c r="S741" t="s">
        <v>93</v>
      </c>
      <c r="T741" t="s">
        <v>109</v>
      </c>
      <c r="U741" t="s">
        <v>95</v>
      </c>
    </row>
    <row r="742" spans="1:21" x14ac:dyDescent="0.3">
      <c r="A742" t="s">
        <v>1763</v>
      </c>
      <c r="B742" s="6" t="str">
        <f>HYPERLINK("http://data.ntsb.gov/carol-repgen/api/Aviation/ReportMain/GenerateNewestReport/99974/pdf","AccidentReport")</f>
        <v>AccidentReport</v>
      </c>
      <c r="C742" t="s">
        <v>1764</v>
      </c>
      <c r="D742" t="s">
        <v>1765</v>
      </c>
      <c r="E742" t="s">
        <v>131</v>
      </c>
      <c r="F742" t="s">
        <v>88</v>
      </c>
      <c r="G742">
        <v>38.943610999999997</v>
      </c>
      <c r="H742">
        <v>-104.570274</v>
      </c>
      <c r="K742" t="s">
        <v>89</v>
      </c>
      <c r="L742">
        <v>1</v>
      </c>
      <c r="M742" t="s">
        <v>90</v>
      </c>
      <c r="N742" t="s">
        <v>91</v>
      </c>
      <c r="O742" t="s">
        <v>92</v>
      </c>
      <c r="S742" t="s">
        <v>108</v>
      </c>
      <c r="T742" t="s">
        <v>499</v>
      </c>
      <c r="U742" t="s">
        <v>95</v>
      </c>
    </row>
    <row r="743" spans="1:21" x14ac:dyDescent="0.3">
      <c r="A743" t="s">
        <v>1766</v>
      </c>
      <c r="B743" s="6" t="str">
        <f>HYPERLINK("http://data.ntsb.gov/carol-repgen/api/Aviation/ReportMain/GenerateNewestReport/99976/pdf","AccidentReport")</f>
        <v>AccidentReport</v>
      </c>
      <c r="C743" t="s">
        <v>1764</v>
      </c>
      <c r="D743" t="s">
        <v>1767</v>
      </c>
      <c r="E743" t="s">
        <v>479</v>
      </c>
      <c r="F743" t="s">
        <v>88</v>
      </c>
      <c r="G743">
        <v>47.649166000000001</v>
      </c>
      <c r="H743">
        <v>-99.629165</v>
      </c>
      <c r="K743" t="s">
        <v>155</v>
      </c>
      <c r="L743">
        <v>1</v>
      </c>
      <c r="M743" t="s">
        <v>90</v>
      </c>
      <c r="N743" t="s">
        <v>100</v>
      </c>
      <c r="O743" t="s">
        <v>169</v>
      </c>
      <c r="S743" t="s">
        <v>515</v>
      </c>
      <c r="T743" t="s">
        <v>113</v>
      </c>
      <c r="U743" t="s">
        <v>103</v>
      </c>
    </row>
    <row r="744" spans="1:21" x14ac:dyDescent="0.3">
      <c r="A744" t="s">
        <v>1768</v>
      </c>
      <c r="B744" s="6" t="str">
        <f>HYPERLINK("http://data.ntsb.gov/carol-repgen/api/Aviation/ReportMain/GenerateNewestReport/100054/pdf","AccidentReport")</f>
        <v>AccidentReport</v>
      </c>
      <c r="C744" t="s">
        <v>1764</v>
      </c>
      <c r="D744" t="s">
        <v>1769</v>
      </c>
      <c r="E744" t="s">
        <v>233</v>
      </c>
      <c r="F744" t="s">
        <v>88</v>
      </c>
      <c r="G744">
        <v>60.589443000000003</v>
      </c>
      <c r="H744">
        <v>-152.157501</v>
      </c>
      <c r="K744" t="s">
        <v>89</v>
      </c>
      <c r="L744">
        <v>1</v>
      </c>
      <c r="M744" t="s">
        <v>90</v>
      </c>
      <c r="N744" t="s">
        <v>91</v>
      </c>
      <c r="O744" t="s">
        <v>92</v>
      </c>
      <c r="S744" t="s">
        <v>173</v>
      </c>
      <c r="T744" t="s">
        <v>499</v>
      </c>
      <c r="U744" t="s">
        <v>95</v>
      </c>
    </row>
    <row r="745" spans="1:21" x14ac:dyDescent="0.3">
      <c r="A745" t="s">
        <v>1770</v>
      </c>
      <c r="B745" s="6" t="str">
        <f>HYPERLINK("http://data.ntsb.gov/carol-repgen/api/Aviation/ReportMain/GenerateNewestReport/99995/pdf","AccidentReport")</f>
        <v>AccidentReport</v>
      </c>
      <c r="C745" t="s">
        <v>1771</v>
      </c>
      <c r="D745" t="s">
        <v>1165</v>
      </c>
      <c r="E745" t="s">
        <v>265</v>
      </c>
      <c r="F745" t="s">
        <v>88</v>
      </c>
      <c r="G745">
        <v>38.721111000000001</v>
      </c>
      <c r="H745">
        <v>-77.514999000000003</v>
      </c>
      <c r="K745" t="s">
        <v>89</v>
      </c>
      <c r="L745">
        <v>1</v>
      </c>
      <c r="M745" t="s">
        <v>90</v>
      </c>
      <c r="N745" t="s">
        <v>91</v>
      </c>
      <c r="O745" t="s">
        <v>92</v>
      </c>
      <c r="S745" t="s">
        <v>108</v>
      </c>
      <c r="T745" t="s">
        <v>94</v>
      </c>
      <c r="U745" t="s">
        <v>95</v>
      </c>
    </row>
    <row r="746" spans="1:21" x14ac:dyDescent="0.3">
      <c r="A746" t="s">
        <v>1772</v>
      </c>
      <c r="B746" s="6" t="str">
        <f>HYPERLINK("http://data.ntsb.gov/carol-repgen/api/Aviation/ReportMain/GenerateNewestReport/100002/pdf","AccidentReport")</f>
        <v>AccidentReport</v>
      </c>
      <c r="C746" t="s">
        <v>1771</v>
      </c>
      <c r="D746" t="s">
        <v>1773</v>
      </c>
      <c r="E746" t="s">
        <v>651</v>
      </c>
      <c r="F746" t="s">
        <v>88</v>
      </c>
      <c r="G746">
        <v>42.475833000000002</v>
      </c>
      <c r="H746">
        <v>-78.137221999999994</v>
      </c>
      <c r="J746">
        <v>1</v>
      </c>
      <c r="K746" t="s">
        <v>99</v>
      </c>
      <c r="L746">
        <v>1</v>
      </c>
      <c r="M746" t="s">
        <v>89</v>
      </c>
      <c r="N746" t="s">
        <v>670</v>
      </c>
      <c r="O746" t="s">
        <v>92</v>
      </c>
      <c r="S746" t="s">
        <v>173</v>
      </c>
      <c r="T746" t="s">
        <v>109</v>
      </c>
      <c r="U746" t="s">
        <v>95</v>
      </c>
    </row>
    <row r="747" spans="1:21" x14ac:dyDescent="0.3">
      <c r="A747" t="s">
        <v>1774</v>
      </c>
      <c r="B747" s="6" t="str">
        <f>HYPERLINK("http://data.ntsb.gov/carol-repgen/api/Aviation/ReportMain/GenerateNewestReport/100110/pdf","AccidentReport")</f>
        <v>AccidentReport</v>
      </c>
      <c r="C747" t="s">
        <v>1771</v>
      </c>
      <c r="D747" t="s">
        <v>1775</v>
      </c>
      <c r="E747" t="s">
        <v>106</v>
      </c>
      <c r="F747" t="s">
        <v>88</v>
      </c>
      <c r="G747">
        <v>38.141109</v>
      </c>
      <c r="H747">
        <v>-122.555831</v>
      </c>
      <c r="K747" t="s">
        <v>89</v>
      </c>
      <c r="L747">
        <v>1</v>
      </c>
      <c r="M747" t="s">
        <v>90</v>
      </c>
      <c r="N747" t="s">
        <v>91</v>
      </c>
      <c r="O747" t="s">
        <v>92</v>
      </c>
      <c r="S747" t="s">
        <v>173</v>
      </c>
      <c r="T747" t="s">
        <v>109</v>
      </c>
      <c r="U747" t="s">
        <v>95</v>
      </c>
    </row>
    <row r="748" spans="1:21" x14ac:dyDescent="0.3">
      <c r="A748" t="s">
        <v>1776</v>
      </c>
      <c r="B748" s="6" t="str">
        <f>HYPERLINK("http://data.ntsb.gov/carol-repgen/api/Aviation/ReportMain/GenerateNewestReport/99994/pdf","AccidentReport")</f>
        <v>AccidentReport</v>
      </c>
      <c r="C748" t="s">
        <v>1777</v>
      </c>
      <c r="D748" t="s">
        <v>1778</v>
      </c>
      <c r="E748" t="s">
        <v>360</v>
      </c>
      <c r="F748" t="s">
        <v>88</v>
      </c>
      <c r="G748">
        <v>38.975276000000001</v>
      </c>
      <c r="H748">
        <v>-89.142500999999996</v>
      </c>
      <c r="K748" t="s">
        <v>89</v>
      </c>
      <c r="L748">
        <v>1</v>
      </c>
      <c r="M748" t="s">
        <v>90</v>
      </c>
      <c r="N748" t="s">
        <v>100</v>
      </c>
      <c r="O748" t="s">
        <v>169</v>
      </c>
      <c r="S748" t="s">
        <v>515</v>
      </c>
      <c r="T748" t="s">
        <v>113</v>
      </c>
      <c r="U748" t="s">
        <v>103</v>
      </c>
    </row>
    <row r="749" spans="1:21" x14ac:dyDescent="0.3">
      <c r="A749" t="s">
        <v>1779</v>
      </c>
      <c r="B749" s="6" t="str">
        <f>HYPERLINK("http://data.ntsb.gov/carol-repgen/api/Aviation/ReportMain/GenerateNewestReport/99986/pdf","AccidentReport")</f>
        <v>AccidentReport</v>
      </c>
      <c r="C749" t="s">
        <v>1780</v>
      </c>
      <c r="D749" t="s">
        <v>1781</v>
      </c>
      <c r="E749" t="s">
        <v>138</v>
      </c>
      <c r="F749" t="s">
        <v>88</v>
      </c>
      <c r="G749">
        <v>46.699165000000001</v>
      </c>
      <c r="H749">
        <v>-89.472778000000005</v>
      </c>
      <c r="I749">
        <v>1</v>
      </c>
      <c r="K749" t="s">
        <v>107</v>
      </c>
      <c r="L749">
        <v>1</v>
      </c>
      <c r="M749" t="s">
        <v>147</v>
      </c>
      <c r="N749" t="s">
        <v>91</v>
      </c>
      <c r="O749" t="s">
        <v>92</v>
      </c>
      <c r="S749" t="s">
        <v>108</v>
      </c>
      <c r="T749" t="s">
        <v>493</v>
      </c>
      <c r="U749" t="s">
        <v>186</v>
      </c>
    </row>
    <row r="750" spans="1:21" x14ac:dyDescent="0.3">
      <c r="A750" t="s">
        <v>1782</v>
      </c>
      <c r="B750" s="6" t="str">
        <f>HYPERLINK("http://data.ntsb.gov/carol-repgen/api/Aviation/ReportMain/GenerateNewestReport/99988/pdf","AccidentReport")</f>
        <v>AccidentReport</v>
      </c>
      <c r="C750" t="s">
        <v>1780</v>
      </c>
      <c r="D750" t="s">
        <v>1783</v>
      </c>
      <c r="E750" t="s">
        <v>138</v>
      </c>
      <c r="F750" t="s">
        <v>88</v>
      </c>
      <c r="G750">
        <v>43.404167000000001</v>
      </c>
      <c r="H750">
        <v>-83.980002999999996</v>
      </c>
      <c r="K750" t="s">
        <v>155</v>
      </c>
      <c r="L750">
        <v>1</v>
      </c>
      <c r="M750" t="s">
        <v>90</v>
      </c>
      <c r="N750" t="s">
        <v>91</v>
      </c>
      <c r="O750" t="s">
        <v>92</v>
      </c>
      <c r="S750" t="s">
        <v>108</v>
      </c>
      <c r="T750" t="s">
        <v>159</v>
      </c>
      <c r="U750" t="s">
        <v>186</v>
      </c>
    </row>
    <row r="751" spans="1:21" x14ac:dyDescent="0.3">
      <c r="A751" t="s">
        <v>1784</v>
      </c>
      <c r="B751" s="6" t="str">
        <f>HYPERLINK("http://data.ntsb.gov/carol-repgen/api/Aviation/ReportMain/GenerateNewestReport/99989/pdf","AccidentReport")</f>
        <v>AccidentReport</v>
      </c>
      <c r="C751" t="s">
        <v>1780</v>
      </c>
      <c r="D751" t="s">
        <v>1785</v>
      </c>
      <c r="E751" t="s">
        <v>485</v>
      </c>
      <c r="F751" t="s">
        <v>88</v>
      </c>
      <c r="G751">
        <v>41.9375</v>
      </c>
      <c r="H751">
        <v>-96.473051999999996</v>
      </c>
      <c r="K751" t="s">
        <v>155</v>
      </c>
      <c r="L751">
        <v>1</v>
      </c>
      <c r="M751" t="s">
        <v>90</v>
      </c>
      <c r="N751" t="s">
        <v>100</v>
      </c>
      <c r="O751" t="s">
        <v>169</v>
      </c>
      <c r="S751" t="s">
        <v>515</v>
      </c>
      <c r="T751" t="s">
        <v>159</v>
      </c>
      <c r="U751" t="s">
        <v>103</v>
      </c>
    </row>
    <row r="752" spans="1:21" x14ac:dyDescent="0.3">
      <c r="A752" t="s">
        <v>1786</v>
      </c>
      <c r="B752" s="6" t="str">
        <f>HYPERLINK("http://data.ntsb.gov/carol-repgen/api/Aviation/ReportMain/GenerateNewestReport/100020/pdf","AccidentReport")</f>
        <v>AccidentReport</v>
      </c>
      <c r="C752" t="s">
        <v>1780</v>
      </c>
      <c r="D752" t="s">
        <v>1244</v>
      </c>
      <c r="E752" t="s">
        <v>98</v>
      </c>
      <c r="F752" t="s">
        <v>88</v>
      </c>
      <c r="G752">
        <v>30.368887999999998</v>
      </c>
      <c r="H752">
        <v>-81.521384999999995</v>
      </c>
      <c r="K752" t="s">
        <v>89</v>
      </c>
      <c r="L752">
        <v>1</v>
      </c>
      <c r="M752" t="s">
        <v>90</v>
      </c>
      <c r="N752" t="s">
        <v>91</v>
      </c>
      <c r="O752" t="s">
        <v>92</v>
      </c>
      <c r="S752" t="s">
        <v>108</v>
      </c>
      <c r="T752" t="s">
        <v>118</v>
      </c>
      <c r="U752" t="s">
        <v>150</v>
      </c>
    </row>
    <row r="753" spans="1:21" x14ac:dyDescent="0.3">
      <c r="A753" t="s">
        <v>1787</v>
      </c>
      <c r="B753" s="6" t="str">
        <f>HYPERLINK("http://data.ntsb.gov/carol-repgen/api/Aviation/ReportMain/GenerateNewestReport/99998/pdf","AccidentReport")</f>
        <v>AccidentReport</v>
      </c>
      <c r="C753" t="s">
        <v>1788</v>
      </c>
      <c r="D753" t="s">
        <v>1789</v>
      </c>
      <c r="E753" t="s">
        <v>233</v>
      </c>
      <c r="F753" t="s">
        <v>88</v>
      </c>
      <c r="G753">
        <v>61.036945000000003</v>
      </c>
      <c r="H753">
        <v>-149.04527200000001</v>
      </c>
      <c r="I753">
        <v>4</v>
      </c>
      <c r="K753" t="s">
        <v>107</v>
      </c>
      <c r="L753">
        <v>1</v>
      </c>
      <c r="M753" t="s">
        <v>147</v>
      </c>
      <c r="N753" t="s">
        <v>91</v>
      </c>
      <c r="O753" t="s">
        <v>92</v>
      </c>
      <c r="S753" t="s">
        <v>108</v>
      </c>
      <c r="T753" t="s">
        <v>332</v>
      </c>
      <c r="U753" t="s">
        <v>103</v>
      </c>
    </row>
    <row r="754" spans="1:21" x14ac:dyDescent="0.3">
      <c r="A754" t="s">
        <v>1790</v>
      </c>
      <c r="B754" s="6" t="str">
        <f>HYPERLINK("http://data.ntsb.gov/carol-repgen/api/Aviation/ReportMain/GenerateNewestReport/99987/pdf","AccidentReport")</f>
        <v>AccidentReport</v>
      </c>
      <c r="C754" t="s">
        <v>1788</v>
      </c>
      <c r="D754" t="s">
        <v>1791</v>
      </c>
      <c r="E754" t="s">
        <v>613</v>
      </c>
      <c r="F754" t="s">
        <v>88</v>
      </c>
      <c r="G754">
        <v>34.039442999999999</v>
      </c>
      <c r="H754">
        <v>-94.423889000000003</v>
      </c>
      <c r="I754">
        <v>1</v>
      </c>
      <c r="J754">
        <v>1</v>
      </c>
      <c r="K754" t="s">
        <v>107</v>
      </c>
      <c r="L754">
        <v>1</v>
      </c>
      <c r="M754" t="s">
        <v>90</v>
      </c>
      <c r="N754" t="s">
        <v>91</v>
      </c>
      <c r="O754" t="s">
        <v>92</v>
      </c>
      <c r="S754" t="s">
        <v>418</v>
      </c>
      <c r="T754" t="s">
        <v>102</v>
      </c>
      <c r="U754" t="s">
        <v>381</v>
      </c>
    </row>
    <row r="755" spans="1:21" x14ac:dyDescent="0.3">
      <c r="A755" t="s">
        <v>1792</v>
      </c>
      <c r="B755" s="6" t="str">
        <f>HYPERLINK("http://data.ntsb.gov/carol-repgen/api/Aviation/ReportMain/GenerateNewestReport/99993/pdf","AccidentReport")</f>
        <v>AccidentReport</v>
      </c>
      <c r="C755" t="s">
        <v>1788</v>
      </c>
      <c r="D755" t="s">
        <v>1793</v>
      </c>
      <c r="E755" t="s">
        <v>485</v>
      </c>
      <c r="F755" t="s">
        <v>88</v>
      </c>
      <c r="G755">
        <v>40.937778000000002</v>
      </c>
      <c r="H755">
        <v>-97.502219999999994</v>
      </c>
      <c r="K755" t="s">
        <v>89</v>
      </c>
      <c r="L755">
        <v>1</v>
      </c>
      <c r="M755" t="s">
        <v>90</v>
      </c>
      <c r="N755" t="s">
        <v>91</v>
      </c>
      <c r="O755" t="s">
        <v>169</v>
      </c>
      <c r="S755" t="s">
        <v>515</v>
      </c>
      <c r="T755" t="s">
        <v>113</v>
      </c>
      <c r="U755" t="s">
        <v>103</v>
      </c>
    </row>
    <row r="756" spans="1:21" x14ac:dyDescent="0.3">
      <c r="A756" t="s">
        <v>1794</v>
      </c>
      <c r="B756" s="6" t="str">
        <f>HYPERLINK("http://data.ntsb.gov/carol-repgen/api/Aviation/ReportMain/GenerateNewestReport/100001/pdf","AccidentReport")</f>
        <v>AccidentReport</v>
      </c>
      <c r="C756" t="s">
        <v>1788</v>
      </c>
      <c r="D756" t="s">
        <v>1795</v>
      </c>
      <c r="E756" t="s">
        <v>125</v>
      </c>
      <c r="F756" t="s">
        <v>88</v>
      </c>
      <c r="G756">
        <v>34.931666999999997</v>
      </c>
      <c r="H756">
        <v>-112.517501</v>
      </c>
      <c r="J756">
        <v>1</v>
      </c>
      <c r="K756" t="s">
        <v>99</v>
      </c>
      <c r="L756">
        <v>1</v>
      </c>
      <c r="M756" t="s">
        <v>90</v>
      </c>
      <c r="N756" t="s">
        <v>893</v>
      </c>
      <c r="O756" t="s">
        <v>92</v>
      </c>
      <c r="S756" t="s">
        <v>108</v>
      </c>
      <c r="T756" t="s">
        <v>94</v>
      </c>
      <c r="U756" t="s">
        <v>95</v>
      </c>
    </row>
    <row r="757" spans="1:21" x14ac:dyDescent="0.3">
      <c r="A757" t="s">
        <v>1796</v>
      </c>
      <c r="B757" s="6" t="str">
        <f>HYPERLINK("http://data.ntsb.gov/carol-repgen/api/Aviation/ReportMain/GenerateNewestReport/100005/pdf","AccidentReport")</f>
        <v>AccidentReport</v>
      </c>
      <c r="C757" t="s">
        <v>1788</v>
      </c>
      <c r="D757" t="s">
        <v>1797</v>
      </c>
      <c r="E757" t="s">
        <v>265</v>
      </c>
      <c r="F757" t="s">
        <v>88</v>
      </c>
      <c r="G757">
        <v>38.815277000000002</v>
      </c>
      <c r="H757">
        <v>-78.770835000000005</v>
      </c>
      <c r="K757" t="s">
        <v>89</v>
      </c>
      <c r="L757">
        <v>1</v>
      </c>
      <c r="M757" t="s">
        <v>90</v>
      </c>
      <c r="N757" t="s">
        <v>91</v>
      </c>
      <c r="O757" t="s">
        <v>92</v>
      </c>
      <c r="S757" t="s">
        <v>108</v>
      </c>
      <c r="T757" t="s">
        <v>94</v>
      </c>
      <c r="U757" t="s">
        <v>95</v>
      </c>
    </row>
    <row r="758" spans="1:21" x14ac:dyDescent="0.3">
      <c r="A758" t="s">
        <v>1798</v>
      </c>
      <c r="B758" s="6" t="str">
        <f>HYPERLINK("http://data.ntsb.gov/carol-repgen/api/Aviation/ReportMain/GenerateNewestReport/100113/pdf","AccidentReport")</f>
        <v>AccidentReport</v>
      </c>
      <c r="C758" t="s">
        <v>1788</v>
      </c>
      <c r="D758" t="s">
        <v>1617</v>
      </c>
      <c r="E758" t="s">
        <v>536</v>
      </c>
      <c r="F758" t="s">
        <v>88</v>
      </c>
      <c r="G758">
        <v>38.310554000000003</v>
      </c>
      <c r="H758">
        <v>-75.123885999999999</v>
      </c>
      <c r="K758" t="s">
        <v>89</v>
      </c>
      <c r="L758">
        <v>1</v>
      </c>
      <c r="M758" t="s">
        <v>90</v>
      </c>
      <c r="N758" t="s">
        <v>91</v>
      </c>
      <c r="O758" t="s">
        <v>92</v>
      </c>
      <c r="S758" t="s">
        <v>93</v>
      </c>
      <c r="T758" t="s">
        <v>109</v>
      </c>
      <c r="U758" t="s">
        <v>95</v>
      </c>
    </row>
    <row r="759" spans="1:21" x14ac:dyDescent="0.3">
      <c r="A759" t="s">
        <v>1799</v>
      </c>
      <c r="B759" s="6" t="str">
        <f>HYPERLINK("http://data.ntsb.gov/carol-repgen/api/Aviation/ReportMain/GenerateNewestReport/100114/pdf","AccidentReport")</f>
        <v>AccidentReport</v>
      </c>
      <c r="C759" t="s">
        <v>1788</v>
      </c>
      <c r="D759" t="s">
        <v>1800</v>
      </c>
      <c r="E759" t="s">
        <v>106</v>
      </c>
      <c r="F759" t="s">
        <v>88</v>
      </c>
      <c r="G759">
        <v>37.724165999999997</v>
      </c>
      <c r="H759">
        <v>-122.211669</v>
      </c>
      <c r="K759" t="s">
        <v>89</v>
      </c>
      <c r="L759">
        <v>1</v>
      </c>
      <c r="M759" t="s">
        <v>90</v>
      </c>
      <c r="N759" t="s">
        <v>91</v>
      </c>
      <c r="O759" t="s">
        <v>92</v>
      </c>
      <c r="S759" t="s">
        <v>108</v>
      </c>
      <c r="T759" t="s">
        <v>109</v>
      </c>
      <c r="U759" t="s">
        <v>95</v>
      </c>
    </row>
    <row r="760" spans="1:21" x14ac:dyDescent="0.3">
      <c r="A760" t="s">
        <v>1801</v>
      </c>
      <c r="B760" s="6" t="str">
        <f>HYPERLINK("http://data.ntsb.gov/carol-repgen/api/Aviation/ReportMain/GenerateNewestReport/100007/pdf","AccidentReport")</f>
        <v>AccidentReport</v>
      </c>
      <c r="C760" t="s">
        <v>1802</v>
      </c>
      <c r="D760" t="s">
        <v>1803</v>
      </c>
      <c r="E760" t="s">
        <v>98</v>
      </c>
      <c r="F760" t="s">
        <v>88</v>
      </c>
      <c r="G760">
        <v>25.647499</v>
      </c>
      <c r="H760">
        <v>-80.433334000000002</v>
      </c>
      <c r="J760">
        <v>2</v>
      </c>
      <c r="K760" t="s">
        <v>99</v>
      </c>
      <c r="L760">
        <v>1</v>
      </c>
      <c r="M760" t="s">
        <v>90</v>
      </c>
      <c r="N760" t="s">
        <v>91</v>
      </c>
      <c r="O760" t="s">
        <v>92</v>
      </c>
      <c r="S760" t="s">
        <v>93</v>
      </c>
      <c r="T760" t="s">
        <v>118</v>
      </c>
      <c r="U760" t="s">
        <v>248</v>
      </c>
    </row>
    <row r="761" spans="1:21" x14ac:dyDescent="0.3">
      <c r="A761" t="s">
        <v>1804</v>
      </c>
      <c r="B761" s="6" t="str">
        <f>HYPERLINK("http://data.ntsb.gov/carol-repgen/api/Aviation/ReportMain/GenerateNewestReport/99999/pdf","AccidentReport")</f>
        <v>AccidentReport</v>
      </c>
      <c r="C761" t="s">
        <v>1802</v>
      </c>
      <c r="D761" t="s">
        <v>1805</v>
      </c>
      <c r="E761" t="s">
        <v>112</v>
      </c>
      <c r="F761" t="s">
        <v>88</v>
      </c>
      <c r="G761">
        <v>48.435831999999998</v>
      </c>
      <c r="H761">
        <v>-105.76083300000001</v>
      </c>
      <c r="I761">
        <v>2</v>
      </c>
      <c r="K761" t="s">
        <v>107</v>
      </c>
      <c r="L761">
        <v>1</v>
      </c>
      <c r="M761" t="s">
        <v>147</v>
      </c>
      <c r="N761" t="s">
        <v>91</v>
      </c>
      <c r="O761" t="s">
        <v>92</v>
      </c>
      <c r="S761" t="s">
        <v>173</v>
      </c>
      <c r="T761" t="s">
        <v>102</v>
      </c>
      <c r="U761" t="s">
        <v>119</v>
      </c>
    </row>
    <row r="762" spans="1:21" x14ac:dyDescent="0.3">
      <c r="A762" t="s">
        <v>1806</v>
      </c>
      <c r="B762" s="6" t="str">
        <f>HYPERLINK("http://data.ntsb.gov/carol-repgen/api/Aviation/ReportMain/GenerateNewestReport/100010/pdf","AccidentReport")</f>
        <v>AccidentReport</v>
      </c>
      <c r="C762" t="s">
        <v>1807</v>
      </c>
      <c r="D762" t="s">
        <v>1808</v>
      </c>
      <c r="E762" t="s">
        <v>154</v>
      </c>
      <c r="F762" t="s">
        <v>88</v>
      </c>
      <c r="G762">
        <v>28.409998999999999</v>
      </c>
      <c r="H762">
        <v>-99.078056000000004</v>
      </c>
      <c r="I762">
        <v>1</v>
      </c>
      <c r="K762" t="s">
        <v>107</v>
      </c>
      <c r="L762">
        <v>1</v>
      </c>
      <c r="M762" t="s">
        <v>147</v>
      </c>
      <c r="N762" t="s">
        <v>893</v>
      </c>
      <c r="O762" t="s">
        <v>92</v>
      </c>
      <c r="S762" t="s">
        <v>108</v>
      </c>
      <c r="T762" t="s">
        <v>102</v>
      </c>
      <c r="U762" t="s">
        <v>103</v>
      </c>
    </row>
    <row r="763" spans="1:21" x14ac:dyDescent="0.3">
      <c r="A763" t="s">
        <v>1809</v>
      </c>
      <c r="B763" s="6" t="str">
        <f>HYPERLINK("http://data.ntsb.gov/carol-repgen/api/Aviation/ReportMain/GenerateNewestReport/100026/pdf","AccidentReport")</f>
        <v>AccidentReport</v>
      </c>
      <c r="C763" t="s">
        <v>1807</v>
      </c>
      <c r="D763" t="s">
        <v>1810</v>
      </c>
      <c r="E763" t="s">
        <v>131</v>
      </c>
      <c r="F763" t="s">
        <v>88</v>
      </c>
      <c r="G763">
        <v>37.34066</v>
      </c>
      <c r="H763">
        <v>-108.290733</v>
      </c>
      <c r="K763" t="s">
        <v>155</v>
      </c>
      <c r="L763">
        <v>1</v>
      </c>
      <c r="M763" t="s">
        <v>90</v>
      </c>
      <c r="N763" t="s">
        <v>91</v>
      </c>
      <c r="O763" t="s">
        <v>92</v>
      </c>
      <c r="S763" t="s">
        <v>108</v>
      </c>
      <c r="T763" t="s">
        <v>159</v>
      </c>
      <c r="U763" t="s">
        <v>186</v>
      </c>
    </row>
    <row r="764" spans="1:21" x14ac:dyDescent="0.3">
      <c r="A764" t="s">
        <v>1811</v>
      </c>
      <c r="B764" s="6" t="str">
        <f>HYPERLINK("http://data.ntsb.gov/carol-repgen/api/Aviation/ReportMain/GenerateNewestReport/100036/pdf","AccidentReport")</f>
        <v>AccidentReport</v>
      </c>
      <c r="C764" t="s">
        <v>1807</v>
      </c>
      <c r="D764" t="s">
        <v>1812</v>
      </c>
      <c r="E764" t="s">
        <v>131</v>
      </c>
      <c r="F764" t="s">
        <v>88</v>
      </c>
      <c r="G764">
        <v>38.29</v>
      </c>
      <c r="H764">
        <v>-104.498054</v>
      </c>
      <c r="K764" t="s">
        <v>89</v>
      </c>
      <c r="L764">
        <v>1</v>
      </c>
      <c r="M764" t="s">
        <v>90</v>
      </c>
      <c r="N764" t="s">
        <v>91</v>
      </c>
      <c r="O764" t="s">
        <v>92</v>
      </c>
      <c r="S764" t="s">
        <v>93</v>
      </c>
      <c r="T764" t="s">
        <v>102</v>
      </c>
      <c r="U764" t="s">
        <v>119</v>
      </c>
    </row>
    <row r="765" spans="1:21" x14ac:dyDescent="0.3">
      <c r="A765" t="s">
        <v>1813</v>
      </c>
      <c r="B765" s="6" t="str">
        <f>HYPERLINK("http://data.ntsb.gov/carol-repgen/api/Aviation/ReportMain/GenerateNewestReport/100013/pdf","AccidentReport")</f>
        <v>AccidentReport</v>
      </c>
      <c r="C765" t="s">
        <v>1807</v>
      </c>
      <c r="D765" t="s">
        <v>1814</v>
      </c>
      <c r="E765" t="s">
        <v>106</v>
      </c>
      <c r="F765" t="s">
        <v>88</v>
      </c>
      <c r="G765">
        <v>34.213889999999999</v>
      </c>
      <c r="H765">
        <v>-119.070831</v>
      </c>
      <c r="I765">
        <v>2</v>
      </c>
      <c r="K765" t="s">
        <v>107</v>
      </c>
      <c r="L765">
        <v>1</v>
      </c>
      <c r="M765" t="s">
        <v>90</v>
      </c>
      <c r="N765" t="s">
        <v>91</v>
      </c>
      <c r="O765" t="s">
        <v>92</v>
      </c>
      <c r="S765" t="s">
        <v>108</v>
      </c>
      <c r="T765" t="s">
        <v>102</v>
      </c>
      <c r="U765" t="s">
        <v>119</v>
      </c>
    </row>
    <row r="766" spans="1:21" x14ac:dyDescent="0.3">
      <c r="A766" t="s">
        <v>1815</v>
      </c>
      <c r="B766" s="6" t="str">
        <f>HYPERLINK("http://data.ntsb.gov/carol-repgen/api/Aviation/ReportMain/GenerateNewestReport/100022/pdf","AccidentReport")</f>
        <v>AccidentReport</v>
      </c>
      <c r="C766" t="s">
        <v>1816</v>
      </c>
      <c r="D766" t="s">
        <v>1817</v>
      </c>
      <c r="E766" t="s">
        <v>518</v>
      </c>
      <c r="F766" t="s">
        <v>88</v>
      </c>
      <c r="G766">
        <v>42.847777999999998</v>
      </c>
      <c r="H766">
        <v>-92.116943000000006</v>
      </c>
      <c r="I766">
        <v>1</v>
      </c>
      <c r="K766" t="s">
        <v>107</v>
      </c>
      <c r="L766">
        <v>1</v>
      </c>
      <c r="M766" t="s">
        <v>147</v>
      </c>
      <c r="N766" t="s">
        <v>91</v>
      </c>
      <c r="O766" t="s">
        <v>92</v>
      </c>
      <c r="S766" t="s">
        <v>166</v>
      </c>
      <c r="T766" t="s">
        <v>113</v>
      </c>
      <c r="U766" t="s">
        <v>103</v>
      </c>
    </row>
    <row r="767" spans="1:21" x14ac:dyDescent="0.3">
      <c r="A767" t="s">
        <v>1818</v>
      </c>
      <c r="B767" s="6" t="str">
        <f>HYPERLINK("http://data.ntsb.gov/carol-repgen/api/Aviation/ReportMain/GenerateNewestReport/100021/pdf","AccidentReport")</f>
        <v>AccidentReport</v>
      </c>
      <c r="C767" t="s">
        <v>1816</v>
      </c>
      <c r="D767" t="s">
        <v>1819</v>
      </c>
      <c r="E767" t="s">
        <v>265</v>
      </c>
      <c r="F767" t="s">
        <v>88</v>
      </c>
      <c r="G767">
        <v>37.950552999999999</v>
      </c>
      <c r="H767">
        <v>-78.612503000000004</v>
      </c>
      <c r="K767" t="s">
        <v>155</v>
      </c>
      <c r="L767">
        <v>1</v>
      </c>
      <c r="M767" t="s">
        <v>90</v>
      </c>
      <c r="N767" t="s">
        <v>91</v>
      </c>
      <c r="O767" t="s">
        <v>92</v>
      </c>
      <c r="S767" t="s">
        <v>108</v>
      </c>
      <c r="T767" t="s">
        <v>159</v>
      </c>
      <c r="U767" t="s">
        <v>186</v>
      </c>
    </row>
    <row r="768" spans="1:21" x14ac:dyDescent="0.3">
      <c r="A768" t="s">
        <v>1820</v>
      </c>
      <c r="B768" s="6" t="str">
        <f>HYPERLINK("http://data.ntsb.gov/carol-repgen/api/Aviation/ReportMain/GenerateNewestReport/100049/pdf","AccidentReport")</f>
        <v>AccidentReport</v>
      </c>
      <c r="C768" t="s">
        <v>1816</v>
      </c>
      <c r="D768" t="s">
        <v>1821</v>
      </c>
      <c r="E768" t="s">
        <v>154</v>
      </c>
      <c r="F768" t="s">
        <v>88</v>
      </c>
      <c r="G768">
        <v>33.499049999999997</v>
      </c>
      <c r="H768">
        <v>-102.010238</v>
      </c>
      <c r="J768">
        <v>1</v>
      </c>
      <c r="K768" t="s">
        <v>99</v>
      </c>
      <c r="L768">
        <v>1</v>
      </c>
      <c r="M768" t="s">
        <v>89</v>
      </c>
      <c r="N768" t="s">
        <v>91</v>
      </c>
      <c r="O768" t="s">
        <v>92</v>
      </c>
      <c r="S768" t="s">
        <v>173</v>
      </c>
      <c r="T768" t="s">
        <v>934</v>
      </c>
      <c r="U768" t="s">
        <v>248</v>
      </c>
    </row>
    <row r="769" spans="1:21" x14ac:dyDescent="0.3">
      <c r="A769" t="s">
        <v>1822</v>
      </c>
      <c r="B769" s="6" t="str">
        <f>HYPERLINK("http://data.ntsb.gov/carol-repgen/api/Aviation/ReportMain/GenerateNewestReport/100014/pdf","AccidentReport")</f>
        <v>AccidentReport</v>
      </c>
      <c r="C769" t="s">
        <v>1816</v>
      </c>
      <c r="D769" t="s">
        <v>1823</v>
      </c>
      <c r="E769" t="s">
        <v>117</v>
      </c>
      <c r="F769" t="s">
        <v>88</v>
      </c>
      <c r="G769">
        <v>40.172499999999999</v>
      </c>
      <c r="H769">
        <v>-75.080000999999996</v>
      </c>
      <c r="I769">
        <v>3</v>
      </c>
      <c r="J769">
        <v>0</v>
      </c>
      <c r="K769" t="s">
        <v>107</v>
      </c>
      <c r="L769">
        <v>1</v>
      </c>
      <c r="M769" t="s">
        <v>147</v>
      </c>
      <c r="N769" t="s">
        <v>91</v>
      </c>
      <c r="O769" t="s">
        <v>92</v>
      </c>
      <c r="S769" t="s">
        <v>108</v>
      </c>
      <c r="T769" t="s">
        <v>102</v>
      </c>
      <c r="U769" t="s">
        <v>186</v>
      </c>
    </row>
    <row r="770" spans="1:21" x14ac:dyDescent="0.3">
      <c r="A770" t="s">
        <v>1824</v>
      </c>
      <c r="B770" s="6" t="str">
        <f>HYPERLINK("http://data.ntsb.gov/carol-repgen/api/Aviation/ReportMain/GenerateNewestReport/100029/pdf","AccidentReport")</f>
        <v>AccidentReport</v>
      </c>
      <c r="C770" t="s">
        <v>1816</v>
      </c>
      <c r="D770" t="s">
        <v>1825</v>
      </c>
      <c r="F770" t="s">
        <v>1501</v>
      </c>
      <c r="G770">
        <v>25.731387999999999</v>
      </c>
      <c r="H770">
        <v>-79.689445000000006</v>
      </c>
      <c r="I770">
        <v>0</v>
      </c>
      <c r="J770">
        <v>0</v>
      </c>
      <c r="K770" t="s">
        <v>89</v>
      </c>
      <c r="L770">
        <v>1</v>
      </c>
      <c r="M770" t="s">
        <v>90</v>
      </c>
      <c r="N770" t="s">
        <v>91</v>
      </c>
      <c r="O770" t="s">
        <v>92</v>
      </c>
      <c r="S770" t="s">
        <v>381</v>
      </c>
      <c r="T770" t="s">
        <v>159</v>
      </c>
      <c r="U770" t="s">
        <v>186</v>
      </c>
    </row>
    <row r="771" spans="1:21" x14ac:dyDescent="0.3">
      <c r="A771" t="s">
        <v>1826</v>
      </c>
      <c r="B771" s="6" t="str">
        <f>HYPERLINK("http://data.ntsb.gov/carol-repgen/api/Aviation/ReportMain/GenerateNewestReport/100019/pdf","AccidentReport")</f>
        <v>AccidentReport</v>
      </c>
      <c r="C771" t="s">
        <v>1816</v>
      </c>
      <c r="D771" t="s">
        <v>594</v>
      </c>
      <c r="E771" t="s">
        <v>98</v>
      </c>
      <c r="F771" t="s">
        <v>88</v>
      </c>
      <c r="G771">
        <v>25.998055999999998</v>
      </c>
      <c r="H771">
        <v>-80.237776999999994</v>
      </c>
      <c r="K771" t="s">
        <v>89</v>
      </c>
      <c r="L771">
        <v>1</v>
      </c>
      <c r="M771" t="s">
        <v>90</v>
      </c>
      <c r="N771" t="s">
        <v>91</v>
      </c>
      <c r="O771" t="s">
        <v>92</v>
      </c>
      <c r="S771" t="s">
        <v>93</v>
      </c>
      <c r="T771" t="s">
        <v>94</v>
      </c>
      <c r="U771" t="s">
        <v>95</v>
      </c>
    </row>
    <row r="772" spans="1:21" x14ac:dyDescent="0.3">
      <c r="A772" t="s">
        <v>1827</v>
      </c>
      <c r="B772" s="6" t="str">
        <f>HYPERLINK("http://data.ntsb.gov/carol-repgen/api/Aviation/ReportMain/GenerateNewestReport/100058/pdf","AccidentReport")</f>
        <v>AccidentReport</v>
      </c>
      <c r="C772" t="s">
        <v>1816</v>
      </c>
      <c r="D772" t="s">
        <v>1264</v>
      </c>
      <c r="E772" t="s">
        <v>125</v>
      </c>
      <c r="F772" t="s">
        <v>88</v>
      </c>
      <c r="G772">
        <v>33.314998000000003</v>
      </c>
      <c r="H772">
        <v>-111.658058</v>
      </c>
      <c r="K772" t="s">
        <v>89</v>
      </c>
      <c r="L772">
        <v>1</v>
      </c>
      <c r="M772" t="s">
        <v>90</v>
      </c>
      <c r="N772" t="s">
        <v>91</v>
      </c>
      <c r="O772" t="s">
        <v>92</v>
      </c>
      <c r="S772" t="s">
        <v>93</v>
      </c>
      <c r="T772" t="s">
        <v>139</v>
      </c>
      <c r="U772" t="s">
        <v>103</v>
      </c>
    </row>
    <row r="773" spans="1:21" x14ac:dyDescent="0.3">
      <c r="A773" t="s">
        <v>1828</v>
      </c>
      <c r="B773" s="6" t="str">
        <f>HYPERLINK("http://data.ntsb.gov/carol-repgen/api/Aviation/ReportMain/GenerateNewestReport/100041/pdf","AccidentReport")</f>
        <v>AccidentReport</v>
      </c>
      <c r="C773" t="s">
        <v>1829</v>
      </c>
      <c r="D773" t="s">
        <v>1830</v>
      </c>
      <c r="E773" t="s">
        <v>165</v>
      </c>
      <c r="F773" t="s">
        <v>88</v>
      </c>
      <c r="G773">
        <v>35.291941999999999</v>
      </c>
      <c r="H773">
        <v>-98.969718</v>
      </c>
      <c r="J773">
        <v>1</v>
      </c>
      <c r="K773" t="s">
        <v>99</v>
      </c>
      <c r="L773">
        <v>1</v>
      </c>
      <c r="M773" t="s">
        <v>90</v>
      </c>
      <c r="N773" t="s">
        <v>91</v>
      </c>
      <c r="O773" t="s">
        <v>92</v>
      </c>
      <c r="S773" t="s">
        <v>108</v>
      </c>
      <c r="T773" t="s">
        <v>109</v>
      </c>
      <c r="U773" t="s">
        <v>95</v>
      </c>
    </row>
    <row r="774" spans="1:21" x14ac:dyDescent="0.3">
      <c r="A774" t="s">
        <v>1831</v>
      </c>
      <c r="B774" s="6" t="str">
        <f>HYPERLINK("http://data.ntsb.gov/carol-repgen/api/Aviation/ReportMain/GenerateNewestReport/100300/pdf","AccidentReport")</f>
        <v>AccidentReport</v>
      </c>
      <c r="C774" t="s">
        <v>1829</v>
      </c>
      <c r="D774" t="s">
        <v>1728</v>
      </c>
      <c r="E774" t="s">
        <v>360</v>
      </c>
      <c r="F774" t="s">
        <v>88</v>
      </c>
      <c r="G774">
        <v>41.785831000000002</v>
      </c>
      <c r="H774">
        <v>-87.752502000000007</v>
      </c>
      <c r="K774" t="s">
        <v>89</v>
      </c>
      <c r="L774">
        <v>1</v>
      </c>
      <c r="M774" t="s">
        <v>90</v>
      </c>
      <c r="N774" t="s">
        <v>91</v>
      </c>
      <c r="O774" t="s">
        <v>92</v>
      </c>
      <c r="S774" t="s">
        <v>108</v>
      </c>
      <c r="T774" t="s">
        <v>109</v>
      </c>
      <c r="U774" t="s">
        <v>95</v>
      </c>
    </row>
    <row r="775" spans="1:21" x14ac:dyDescent="0.3">
      <c r="A775" t="s">
        <v>1832</v>
      </c>
      <c r="B775" s="6" t="str">
        <f>HYPERLINK("http://data.ntsb.gov/carol-repgen/api/Aviation/ReportMain/GenerateNewestReport/100032/pdf","AccidentReport")</f>
        <v>AccidentReport</v>
      </c>
      <c r="C775" t="s">
        <v>1829</v>
      </c>
      <c r="D775" t="s">
        <v>1248</v>
      </c>
      <c r="E775" t="s">
        <v>251</v>
      </c>
      <c r="F775" t="s">
        <v>88</v>
      </c>
      <c r="G775">
        <v>44.025832999999999</v>
      </c>
      <c r="H775">
        <v>-117.028335</v>
      </c>
      <c r="I775">
        <v>1</v>
      </c>
      <c r="J775">
        <v>1</v>
      </c>
      <c r="K775" t="s">
        <v>107</v>
      </c>
      <c r="L775">
        <v>1</v>
      </c>
      <c r="M775" t="s">
        <v>90</v>
      </c>
      <c r="N775" t="s">
        <v>91</v>
      </c>
      <c r="O775" t="s">
        <v>92</v>
      </c>
      <c r="S775" t="s">
        <v>108</v>
      </c>
      <c r="T775" t="s">
        <v>159</v>
      </c>
      <c r="U775" t="s">
        <v>119</v>
      </c>
    </row>
    <row r="776" spans="1:21" x14ac:dyDescent="0.3">
      <c r="A776" t="s">
        <v>1833</v>
      </c>
      <c r="B776" s="6" t="str">
        <f>HYPERLINK("http://data.ntsb.gov/carol-repgen/api/Aviation/ReportMain/GenerateNewestReport/100090/pdf","AccidentReport")</f>
        <v>AccidentReport</v>
      </c>
      <c r="C776" t="s">
        <v>1829</v>
      </c>
      <c r="D776" t="s">
        <v>1834</v>
      </c>
      <c r="E776" t="s">
        <v>106</v>
      </c>
      <c r="F776" t="s">
        <v>88</v>
      </c>
      <c r="G776">
        <v>38.258056000000003</v>
      </c>
      <c r="H776">
        <v>-121.375</v>
      </c>
      <c r="J776">
        <v>1</v>
      </c>
      <c r="K776" t="s">
        <v>99</v>
      </c>
      <c r="L776">
        <v>1</v>
      </c>
      <c r="M776" t="s">
        <v>155</v>
      </c>
      <c r="N776" t="s">
        <v>670</v>
      </c>
      <c r="O776" t="s">
        <v>92</v>
      </c>
      <c r="S776" t="s">
        <v>173</v>
      </c>
      <c r="T776" t="s">
        <v>442</v>
      </c>
      <c r="U776" t="s">
        <v>381</v>
      </c>
    </row>
    <row r="777" spans="1:21" x14ac:dyDescent="0.3">
      <c r="A777" t="s">
        <v>1835</v>
      </c>
      <c r="B777" s="6" t="str">
        <f>HYPERLINK("http://data.ntsb.gov/carol-repgen/api/Aviation/ReportMain/GenerateNewestReport/100033/pdf","AccidentReport")</f>
        <v>AccidentReport</v>
      </c>
      <c r="C777" t="s">
        <v>1836</v>
      </c>
      <c r="D777" t="s">
        <v>1837</v>
      </c>
      <c r="E777" t="s">
        <v>142</v>
      </c>
      <c r="F777" t="s">
        <v>88</v>
      </c>
      <c r="G777">
        <v>40.024723000000002</v>
      </c>
      <c r="H777">
        <v>-82.461944000000003</v>
      </c>
      <c r="K777" t="s">
        <v>155</v>
      </c>
      <c r="L777">
        <v>1</v>
      </c>
      <c r="M777" t="s">
        <v>90</v>
      </c>
      <c r="N777" t="s">
        <v>91</v>
      </c>
      <c r="O777" t="s">
        <v>92</v>
      </c>
      <c r="S777" t="s">
        <v>108</v>
      </c>
      <c r="T777" t="s">
        <v>159</v>
      </c>
      <c r="U777" t="s">
        <v>150</v>
      </c>
    </row>
    <row r="778" spans="1:21" x14ac:dyDescent="0.3">
      <c r="A778" t="s">
        <v>1838</v>
      </c>
      <c r="B778" s="6" t="str">
        <f>HYPERLINK("http://data.ntsb.gov/carol-repgen/api/Aviation/ReportMain/GenerateNewestReport/100035/pdf","AccidentReport")</f>
        <v>AccidentReport</v>
      </c>
      <c r="C778" t="s">
        <v>1836</v>
      </c>
      <c r="D778" t="s">
        <v>1322</v>
      </c>
      <c r="E778" t="s">
        <v>87</v>
      </c>
      <c r="F778" t="s">
        <v>88</v>
      </c>
      <c r="G778">
        <v>47.049166999999997</v>
      </c>
      <c r="H778">
        <v>-91.745277000000002</v>
      </c>
      <c r="K778" t="s">
        <v>89</v>
      </c>
      <c r="L778">
        <v>1</v>
      </c>
      <c r="M778" t="s">
        <v>90</v>
      </c>
      <c r="N778" t="s">
        <v>91</v>
      </c>
      <c r="O778" t="s">
        <v>92</v>
      </c>
      <c r="S778" t="s">
        <v>108</v>
      </c>
      <c r="T778" t="s">
        <v>94</v>
      </c>
      <c r="U778" t="s">
        <v>95</v>
      </c>
    </row>
    <row r="779" spans="1:21" x14ac:dyDescent="0.3">
      <c r="A779" t="s">
        <v>1839</v>
      </c>
      <c r="B779" s="6" t="str">
        <f>HYPERLINK("http://data.ntsb.gov/carol-repgen/api/Aviation/ReportMain/GenerateNewestReport/100044/pdf","AccidentReport")</f>
        <v>AccidentReport</v>
      </c>
      <c r="C779" t="s">
        <v>1836</v>
      </c>
      <c r="D779" t="s">
        <v>1538</v>
      </c>
      <c r="E779" t="s">
        <v>117</v>
      </c>
      <c r="F779" t="s">
        <v>88</v>
      </c>
      <c r="G779">
        <v>41.377498000000003</v>
      </c>
      <c r="H779">
        <v>-79.860557</v>
      </c>
      <c r="K779" t="s">
        <v>89</v>
      </c>
      <c r="L779">
        <v>1</v>
      </c>
      <c r="M779" t="s">
        <v>90</v>
      </c>
      <c r="N779" t="s">
        <v>91</v>
      </c>
      <c r="O779" t="s">
        <v>92</v>
      </c>
      <c r="S779" t="s">
        <v>108</v>
      </c>
      <c r="T779" t="s">
        <v>94</v>
      </c>
      <c r="U779" t="s">
        <v>248</v>
      </c>
    </row>
    <row r="780" spans="1:21" x14ac:dyDescent="0.3">
      <c r="A780" t="s">
        <v>1840</v>
      </c>
      <c r="B780" s="6" t="str">
        <f>HYPERLINK("http://data.ntsb.gov/carol-repgen/api/Aviation/ReportMain/GenerateNewestReport/100061/pdf","AccidentReport")</f>
        <v>AccidentReport</v>
      </c>
      <c r="C780" t="s">
        <v>1836</v>
      </c>
      <c r="D780" t="s">
        <v>215</v>
      </c>
      <c r="E780" t="s">
        <v>106</v>
      </c>
      <c r="F780" t="s">
        <v>88</v>
      </c>
      <c r="G780">
        <v>33.974722999999997</v>
      </c>
      <c r="H780">
        <v>-117.63639000000001</v>
      </c>
      <c r="K780" t="s">
        <v>89</v>
      </c>
      <c r="L780">
        <v>1</v>
      </c>
      <c r="M780" t="s">
        <v>90</v>
      </c>
      <c r="N780" t="s">
        <v>91</v>
      </c>
      <c r="O780" t="s">
        <v>92</v>
      </c>
      <c r="S780" t="s">
        <v>108</v>
      </c>
      <c r="T780" t="s">
        <v>94</v>
      </c>
      <c r="U780" t="s">
        <v>95</v>
      </c>
    </row>
    <row r="781" spans="1:21" x14ac:dyDescent="0.3">
      <c r="A781" t="s">
        <v>1841</v>
      </c>
      <c r="B781" s="6" t="str">
        <f>HYPERLINK("http://data.ntsb.gov/carol-repgen/api/Aviation/ReportMain/GenerateNewestReport/100034/pdf","AccidentReport")</f>
        <v>AccidentReport</v>
      </c>
      <c r="C781" t="s">
        <v>1842</v>
      </c>
      <c r="D781" t="s">
        <v>1843</v>
      </c>
      <c r="E781" t="s">
        <v>142</v>
      </c>
      <c r="F781" t="s">
        <v>88</v>
      </c>
      <c r="G781">
        <v>39.929721000000001</v>
      </c>
      <c r="H781">
        <v>-84.022780999999995</v>
      </c>
      <c r="K781" t="s">
        <v>155</v>
      </c>
      <c r="L781">
        <v>1</v>
      </c>
      <c r="M781" t="s">
        <v>90</v>
      </c>
      <c r="N781" t="s">
        <v>91</v>
      </c>
      <c r="O781" t="s">
        <v>92</v>
      </c>
      <c r="S781" t="s">
        <v>108</v>
      </c>
      <c r="T781" t="s">
        <v>102</v>
      </c>
      <c r="U781" t="s">
        <v>150</v>
      </c>
    </row>
    <row r="782" spans="1:21" x14ac:dyDescent="0.3">
      <c r="A782" t="s">
        <v>1844</v>
      </c>
      <c r="B782" s="6" t="str">
        <f>HYPERLINK("http://data.ntsb.gov/carol-repgen/api/Aviation/ReportMain/GenerateNewestReport/100037/pdf","AccidentReport")</f>
        <v>AccidentReport</v>
      </c>
      <c r="C782" t="s">
        <v>1842</v>
      </c>
      <c r="D782" t="s">
        <v>1845</v>
      </c>
      <c r="E782" t="s">
        <v>117</v>
      </c>
      <c r="F782" t="s">
        <v>88</v>
      </c>
      <c r="G782">
        <v>41.207500000000003</v>
      </c>
      <c r="H782">
        <v>-77.219168999999994</v>
      </c>
      <c r="I782">
        <v>2</v>
      </c>
      <c r="K782" t="s">
        <v>107</v>
      </c>
      <c r="L782">
        <v>1</v>
      </c>
      <c r="M782" t="s">
        <v>90</v>
      </c>
      <c r="N782" t="s">
        <v>91</v>
      </c>
      <c r="O782" t="s">
        <v>92</v>
      </c>
      <c r="S782" t="s">
        <v>108</v>
      </c>
      <c r="T782" t="s">
        <v>102</v>
      </c>
      <c r="U782" t="s">
        <v>103</v>
      </c>
    </row>
    <row r="783" spans="1:21" x14ac:dyDescent="0.3">
      <c r="A783" t="s">
        <v>1846</v>
      </c>
      <c r="B783" s="6" t="str">
        <f>HYPERLINK("http://data.ntsb.gov/carol-repgen/api/Aviation/ReportMain/GenerateNewestReport/100040/pdf","AccidentReport")</f>
        <v>AccidentReport</v>
      </c>
      <c r="C783" t="s">
        <v>1842</v>
      </c>
      <c r="D783" t="s">
        <v>1847</v>
      </c>
      <c r="E783" t="s">
        <v>117</v>
      </c>
      <c r="F783" t="s">
        <v>88</v>
      </c>
      <c r="G783">
        <v>40.652220999999997</v>
      </c>
      <c r="H783">
        <v>-75.440550999999999</v>
      </c>
      <c r="J783">
        <v>1</v>
      </c>
      <c r="K783" t="s">
        <v>99</v>
      </c>
      <c r="L783">
        <v>1</v>
      </c>
      <c r="M783" t="s">
        <v>90</v>
      </c>
      <c r="N783" t="s">
        <v>100</v>
      </c>
      <c r="O783" t="s">
        <v>92</v>
      </c>
      <c r="S783" t="s">
        <v>170</v>
      </c>
      <c r="T783" t="s">
        <v>159</v>
      </c>
      <c r="U783" t="s">
        <v>150</v>
      </c>
    </row>
    <row r="784" spans="1:21" x14ac:dyDescent="0.3">
      <c r="A784" t="s">
        <v>1848</v>
      </c>
      <c r="B784" s="6" t="str">
        <f>HYPERLINK("http://data.ntsb.gov/carol-repgen/api/Aviation/ReportMain/GenerateNewestReport/100038/pdf","AccidentReport")</f>
        <v>AccidentReport</v>
      </c>
      <c r="C784" t="s">
        <v>1842</v>
      </c>
      <c r="D784" t="s">
        <v>1849</v>
      </c>
      <c r="E784" t="s">
        <v>122</v>
      </c>
      <c r="F784" t="s">
        <v>88</v>
      </c>
      <c r="G784">
        <v>46.157775000000001</v>
      </c>
      <c r="H784">
        <v>-115.919723</v>
      </c>
      <c r="I784">
        <v>2</v>
      </c>
      <c r="K784" t="s">
        <v>107</v>
      </c>
      <c r="L784">
        <v>1</v>
      </c>
      <c r="M784" t="s">
        <v>90</v>
      </c>
      <c r="N784" t="s">
        <v>91</v>
      </c>
      <c r="O784" t="s">
        <v>92</v>
      </c>
      <c r="S784" t="s">
        <v>108</v>
      </c>
      <c r="T784" t="s">
        <v>102</v>
      </c>
      <c r="U784" t="s">
        <v>186</v>
      </c>
    </row>
    <row r="785" spans="1:21" x14ac:dyDescent="0.3">
      <c r="A785" t="s">
        <v>1850</v>
      </c>
      <c r="B785" s="6" t="str">
        <f>HYPERLINK("http://data.ntsb.gov/carol-repgen/api/Aviation/ReportMain/GenerateNewestReport/100046/pdf","AccidentReport")</f>
        <v>AccidentReport</v>
      </c>
      <c r="C785" t="s">
        <v>1851</v>
      </c>
      <c r="D785" t="s">
        <v>243</v>
      </c>
      <c r="E785" t="s">
        <v>233</v>
      </c>
      <c r="F785" t="s">
        <v>88</v>
      </c>
      <c r="G785">
        <v>61.178890000000003</v>
      </c>
      <c r="H785">
        <v>-149.95832799999999</v>
      </c>
      <c r="K785" t="s">
        <v>155</v>
      </c>
      <c r="L785">
        <v>1</v>
      </c>
      <c r="M785" t="s">
        <v>90</v>
      </c>
      <c r="N785" t="s">
        <v>91</v>
      </c>
      <c r="O785" t="s">
        <v>92</v>
      </c>
      <c r="S785" t="s">
        <v>108</v>
      </c>
      <c r="T785" t="s">
        <v>411</v>
      </c>
      <c r="U785" t="s">
        <v>248</v>
      </c>
    </row>
    <row r="786" spans="1:21" x14ac:dyDescent="0.3">
      <c r="A786" t="s">
        <v>1852</v>
      </c>
      <c r="B786" s="6" t="str">
        <f>HYPERLINK("http://data.ntsb.gov/carol-repgen/api/Aviation/ReportMain/GenerateNewestReport/100143/pdf","AccidentReport")</f>
        <v>AccidentReport</v>
      </c>
      <c r="C786" t="s">
        <v>1851</v>
      </c>
      <c r="D786" t="s">
        <v>1853</v>
      </c>
      <c r="E786" t="s">
        <v>165</v>
      </c>
      <c r="F786" t="s">
        <v>88</v>
      </c>
      <c r="G786">
        <v>35.097498999999999</v>
      </c>
      <c r="H786">
        <v>-97.969168999999994</v>
      </c>
      <c r="K786" t="s">
        <v>89</v>
      </c>
      <c r="L786">
        <v>1</v>
      </c>
      <c r="M786" t="s">
        <v>90</v>
      </c>
      <c r="N786" t="s">
        <v>91</v>
      </c>
      <c r="O786" t="s">
        <v>92</v>
      </c>
      <c r="S786" t="s">
        <v>93</v>
      </c>
      <c r="T786" t="s">
        <v>94</v>
      </c>
      <c r="U786" t="s">
        <v>95</v>
      </c>
    </row>
    <row r="787" spans="1:21" x14ac:dyDescent="0.3">
      <c r="A787" t="s">
        <v>1854</v>
      </c>
      <c r="B787" s="6" t="str">
        <f>HYPERLINK("http://data.ntsb.gov/carol-repgen/api/Aviation/ReportMain/GenerateNewestReport/100052/pdf","AccidentReport")</f>
        <v>AccidentReport</v>
      </c>
      <c r="C787" t="s">
        <v>1855</v>
      </c>
      <c r="D787" t="s">
        <v>1856</v>
      </c>
      <c r="E787" t="s">
        <v>98</v>
      </c>
      <c r="F787" t="s">
        <v>88</v>
      </c>
      <c r="G787">
        <v>30.969722000000001</v>
      </c>
      <c r="H787">
        <v>-87.206389999999999</v>
      </c>
      <c r="J787">
        <v>1</v>
      </c>
      <c r="K787" t="s">
        <v>99</v>
      </c>
      <c r="L787">
        <v>1</v>
      </c>
      <c r="M787" t="s">
        <v>90</v>
      </c>
      <c r="N787" t="s">
        <v>91</v>
      </c>
      <c r="O787" t="s">
        <v>92</v>
      </c>
      <c r="S787" t="s">
        <v>166</v>
      </c>
      <c r="T787" t="s">
        <v>113</v>
      </c>
      <c r="U787" t="s">
        <v>103</v>
      </c>
    </row>
    <row r="788" spans="1:21" x14ac:dyDescent="0.3">
      <c r="A788" t="s">
        <v>1857</v>
      </c>
      <c r="B788" s="6" t="str">
        <f>HYPERLINK("http://data.ntsb.gov/carol-repgen/api/Aviation/ReportMain/GenerateNewestReport/100053/pdf","AccidentReport")</f>
        <v>AccidentReport</v>
      </c>
      <c r="C788" t="s">
        <v>1858</v>
      </c>
      <c r="D788" t="s">
        <v>1859</v>
      </c>
      <c r="E788" t="s">
        <v>206</v>
      </c>
      <c r="F788" t="s">
        <v>88</v>
      </c>
      <c r="G788">
        <v>36.273612</v>
      </c>
      <c r="H788">
        <v>-81.577774000000005</v>
      </c>
      <c r="I788">
        <v>1</v>
      </c>
      <c r="K788" t="s">
        <v>107</v>
      </c>
      <c r="L788">
        <v>1</v>
      </c>
      <c r="M788" t="s">
        <v>147</v>
      </c>
      <c r="N788" t="s">
        <v>91</v>
      </c>
      <c r="O788" t="s">
        <v>92</v>
      </c>
      <c r="S788" t="s">
        <v>108</v>
      </c>
      <c r="T788" t="s">
        <v>159</v>
      </c>
      <c r="U788" t="s">
        <v>119</v>
      </c>
    </row>
    <row r="789" spans="1:21" x14ac:dyDescent="0.3">
      <c r="A789" t="s">
        <v>1860</v>
      </c>
      <c r="B789" s="6" t="str">
        <f>HYPERLINK("http://data.ntsb.gov/carol-repgen/api/Aviation/ReportMain/GenerateNewestReport/100064/pdf","AccidentReport")</f>
        <v>AccidentReport</v>
      </c>
      <c r="C789" t="s">
        <v>1858</v>
      </c>
      <c r="D789" t="s">
        <v>1861</v>
      </c>
      <c r="E789" t="s">
        <v>106</v>
      </c>
      <c r="F789" t="s">
        <v>88</v>
      </c>
      <c r="G789">
        <v>37.894443000000003</v>
      </c>
      <c r="H789">
        <v>-121.238609</v>
      </c>
      <c r="K789" t="s">
        <v>89</v>
      </c>
      <c r="L789">
        <v>1</v>
      </c>
      <c r="M789" t="s">
        <v>90</v>
      </c>
      <c r="N789" t="s">
        <v>91</v>
      </c>
      <c r="O789" t="s">
        <v>92</v>
      </c>
      <c r="S789" t="s">
        <v>108</v>
      </c>
      <c r="T789" t="s">
        <v>109</v>
      </c>
      <c r="U789" t="s">
        <v>95</v>
      </c>
    </row>
    <row r="790" spans="1:21" x14ac:dyDescent="0.3">
      <c r="A790" t="s">
        <v>1862</v>
      </c>
      <c r="B790" s="6" t="str">
        <f>HYPERLINK("http://data.ntsb.gov/carol-repgen/api/Aviation/ReportMain/GenerateNewestReport/100056/pdf","AccidentReport")</f>
        <v>AccidentReport</v>
      </c>
      <c r="C790" t="s">
        <v>1858</v>
      </c>
      <c r="D790" t="s">
        <v>474</v>
      </c>
      <c r="E790" t="s">
        <v>176</v>
      </c>
      <c r="F790" t="s">
        <v>88</v>
      </c>
      <c r="G790">
        <v>48.139719999999997</v>
      </c>
      <c r="H790">
        <v>-122.157501</v>
      </c>
      <c r="I790">
        <v>1</v>
      </c>
      <c r="K790" t="s">
        <v>107</v>
      </c>
      <c r="L790">
        <v>1</v>
      </c>
      <c r="M790" t="s">
        <v>90</v>
      </c>
      <c r="N790" t="s">
        <v>91</v>
      </c>
      <c r="O790" t="s">
        <v>92</v>
      </c>
      <c r="S790" t="s">
        <v>108</v>
      </c>
      <c r="T790" t="s">
        <v>381</v>
      </c>
      <c r="U790" t="s">
        <v>381</v>
      </c>
    </row>
    <row r="791" spans="1:21" x14ac:dyDescent="0.3">
      <c r="A791" t="s">
        <v>1863</v>
      </c>
      <c r="B791" s="6" t="str">
        <f>HYPERLINK("http://data.ntsb.gov/carol-repgen/api/Aviation/ReportMain/GenerateNewestReport/100051/pdf","AccidentReport")</f>
        <v>AccidentReport</v>
      </c>
      <c r="C791" t="s">
        <v>1858</v>
      </c>
      <c r="D791" t="s">
        <v>1864</v>
      </c>
      <c r="E791" t="s">
        <v>125</v>
      </c>
      <c r="F791" t="s">
        <v>88</v>
      </c>
      <c r="G791">
        <v>33.283332000000001</v>
      </c>
      <c r="H791">
        <v>-111.57360799999999</v>
      </c>
      <c r="K791" t="s">
        <v>89</v>
      </c>
      <c r="L791">
        <v>1</v>
      </c>
      <c r="M791" t="s">
        <v>90</v>
      </c>
      <c r="N791" t="s">
        <v>91</v>
      </c>
      <c r="O791" t="s">
        <v>92</v>
      </c>
      <c r="S791" t="s">
        <v>93</v>
      </c>
      <c r="T791" t="s">
        <v>159</v>
      </c>
      <c r="U791" t="s">
        <v>103</v>
      </c>
    </row>
    <row r="792" spans="1:21" x14ac:dyDescent="0.3">
      <c r="A792" t="s">
        <v>1865</v>
      </c>
      <c r="B792" s="6" t="str">
        <f>HYPERLINK("http://data.ntsb.gov/carol-repgen/api/Aviation/ReportMain/GenerateNewestReport/100065/pdf","AccidentReport")</f>
        <v>AccidentReport</v>
      </c>
      <c r="C792" t="s">
        <v>1858</v>
      </c>
      <c r="D792" t="s">
        <v>1866</v>
      </c>
      <c r="E792" t="s">
        <v>176</v>
      </c>
      <c r="F792" t="s">
        <v>88</v>
      </c>
      <c r="G792">
        <v>47.232776000000001</v>
      </c>
      <c r="H792">
        <v>-123.15083300000001</v>
      </c>
      <c r="K792" t="s">
        <v>155</v>
      </c>
      <c r="L792">
        <v>1</v>
      </c>
      <c r="M792" t="s">
        <v>90</v>
      </c>
      <c r="N792" t="s">
        <v>862</v>
      </c>
      <c r="O792" t="s">
        <v>92</v>
      </c>
      <c r="S792" t="s">
        <v>108</v>
      </c>
      <c r="T792" t="s">
        <v>102</v>
      </c>
      <c r="U792" t="s">
        <v>248</v>
      </c>
    </row>
    <row r="793" spans="1:21" x14ac:dyDescent="0.3">
      <c r="A793" t="s">
        <v>1867</v>
      </c>
      <c r="B793" s="6" t="str">
        <f>HYPERLINK("http://data.ntsb.gov/carol-repgen/api/Aviation/ReportMain/GenerateNewestReport/100063/pdf","AccidentReport")</f>
        <v>AccidentReport</v>
      </c>
      <c r="C793" t="s">
        <v>1868</v>
      </c>
      <c r="D793" t="s">
        <v>1869</v>
      </c>
      <c r="E793" t="s">
        <v>154</v>
      </c>
      <c r="F793" t="s">
        <v>88</v>
      </c>
      <c r="G793">
        <v>29.892778</v>
      </c>
      <c r="H793">
        <v>-97.863051999999996</v>
      </c>
      <c r="K793" t="s">
        <v>155</v>
      </c>
      <c r="L793">
        <v>1</v>
      </c>
      <c r="M793" t="s">
        <v>90</v>
      </c>
      <c r="N793" t="s">
        <v>91</v>
      </c>
      <c r="O793" t="s">
        <v>92</v>
      </c>
      <c r="S793" t="s">
        <v>93</v>
      </c>
      <c r="T793" t="s">
        <v>102</v>
      </c>
      <c r="U793" t="s">
        <v>119</v>
      </c>
    </row>
    <row r="794" spans="1:21" x14ac:dyDescent="0.3">
      <c r="A794" t="s">
        <v>1870</v>
      </c>
      <c r="B794" s="6" t="str">
        <f>HYPERLINK("http://data.ntsb.gov/carol-repgen/api/Aviation/ReportMain/GenerateNewestReport/100087/pdf","AccidentReport")</f>
        <v>AccidentReport</v>
      </c>
      <c r="C794" t="s">
        <v>1868</v>
      </c>
      <c r="D794" t="s">
        <v>1871</v>
      </c>
      <c r="E794" t="s">
        <v>154</v>
      </c>
      <c r="F794" t="s">
        <v>88</v>
      </c>
      <c r="G794">
        <v>26.380555999999999</v>
      </c>
      <c r="H794">
        <v>-98.816946999999999</v>
      </c>
      <c r="K794" t="s">
        <v>89</v>
      </c>
      <c r="L794">
        <v>1</v>
      </c>
      <c r="M794" t="s">
        <v>90</v>
      </c>
      <c r="N794" t="s">
        <v>91</v>
      </c>
      <c r="O794" t="s">
        <v>92</v>
      </c>
      <c r="S794" t="s">
        <v>108</v>
      </c>
      <c r="T794" t="s">
        <v>159</v>
      </c>
      <c r="U794" t="s">
        <v>186</v>
      </c>
    </row>
    <row r="795" spans="1:21" x14ac:dyDescent="0.3">
      <c r="A795" t="s">
        <v>1872</v>
      </c>
      <c r="B795" s="6" t="str">
        <f>HYPERLINK("http://data.ntsb.gov/carol-repgen/api/Aviation/ReportMain/GenerateNewestReport/100066/pdf","AccidentReport")</f>
        <v>AccidentReport</v>
      </c>
      <c r="C795" t="s">
        <v>1868</v>
      </c>
      <c r="D795" t="s">
        <v>1873</v>
      </c>
      <c r="E795" t="s">
        <v>146</v>
      </c>
      <c r="F795" t="s">
        <v>88</v>
      </c>
      <c r="G795">
        <v>36.367221000000001</v>
      </c>
      <c r="H795">
        <v>-82.181663</v>
      </c>
      <c r="K795" t="s">
        <v>155</v>
      </c>
      <c r="L795">
        <v>1</v>
      </c>
      <c r="M795" t="s">
        <v>147</v>
      </c>
      <c r="N795" t="s">
        <v>91</v>
      </c>
      <c r="O795" t="s">
        <v>92</v>
      </c>
      <c r="S795" t="s">
        <v>173</v>
      </c>
      <c r="T795" t="s">
        <v>247</v>
      </c>
      <c r="U795" t="s">
        <v>95</v>
      </c>
    </row>
    <row r="796" spans="1:21" x14ac:dyDescent="0.3">
      <c r="A796" t="s">
        <v>1874</v>
      </c>
      <c r="B796" s="6" t="str">
        <f>HYPERLINK("http://data.ntsb.gov/carol-repgen/api/Aviation/ReportMain/GenerateNewestReport/100095/pdf","AccidentReport")</f>
        <v>AccidentReport</v>
      </c>
      <c r="C796" t="s">
        <v>1868</v>
      </c>
      <c r="D796" t="s">
        <v>895</v>
      </c>
      <c r="E796" t="s">
        <v>233</v>
      </c>
      <c r="F796" t="s">
        <v>88</v>
      </c>
      <c r="G796">
        <v>61.188056000000003</v>
      </c>
      <c r="H796">
        <v>-142.61610400000001</v>
      </c>
      <c r="K796" t="s">
        <v>89</v>
      </c>
      <c r="L796">
        <v>1</v>
      </c>
      <c r="M796" t="s">
        <v>90</v>
      </c>
      <c r="N796" t="s">
        <v>91</v>
      </c>
      <c r="O796" t="s">
        <v>92</v>
      </c>
      <c r="S796" t="s">
        <v>108</v>
      </c>
      <c r="T796" t="s">
        <v>109</v>
      </c>
      <c r="U796" t="s">
        <v>95</v>
      </c>
    </row>
    <row r="797" spans="1:21" x14ac:dyDescent="0.3">
      <c r="A797" t="s">
        <v>1875</v>
      </c>
      <c r="B797" s="6" t="str">
        <f>HYPERLINK("http://data.ntsb.gov/carol-repgen/api/Aviation/ReportMain/GenerateNewestReport/100070/pdf","AccidentReport")</f>
        <v>AccidentReport</v>
      </c>
      <c r="C797" t="s">
        <v>1868</v>
      </c>
      <c r="D797" t="s">
        <v>1876</v>
      </c>
      <c r="E797" t="s">
        <v>106</v>
      </c>
      <c r="F797" t="s">
        <v>88</v>
      </c>
      <c r="G797">
        <v>32.702219999999997</v>
      </c>
      <c r="H797">
        <v>-116.867225</v>
      </c>
      <c r="K797" t="s">
        <v>155</v>
      </c>
      <c r="L797">
        <v>1</v>
      </c>
      <c r="M797" t="s">
        <v>90</v>
      </c>
      <c r="N797" t="s">
        <v>91</v>
      </c>
      <c r="O797" t="s">
        <v>92</v>
      </c>
      <c r="S797" t="s">
        <v>108</v>
      </c>
      <c r="T797" t="s">
        <v>159</v>
      </c>
      <c r="U797" t="s">
        <v>103</v>
      </c>
    </row>
    <row r="798" spans="1:21" x14ac:dyDescent="0.3">
      <c r="A798" t="s">
        <v>1877</v>
      </c>
      <c r="B798" s="6" t="str">
        <f>HYPERLINK("http://data.ntsb.gov/carol-repgen/api/Aviation/ReportMain/GenerateNewestReport/100073/pdf","AccidentReport")</f>
        <v>AccidentReport</v>
      </c>
      <c r="C798" t="s">
        <v>1878</v>
      </c>
      <c r="D798" t="s">
        <v>1879</v>
      </c>
      <c r="E798" t="s">
        <v>228</v>
      </c>
      <c r="F798" t="s">
        <v>88</v>
      </c>
      <c r="G798">
        <v>30.025554</v>
      </c>
      <c r="H798">
        <v>-90.029998000000006</v>
      </c>
      <c r="I798">
        <v>2</v>
      </c>
      <c r="K798" t="s">
        <v>107</v>
      </c>
      <c r="L798">
        <v>1</v>
      </c>
      <c r="M798" t="s">
        <v>147</v>
      </c>
      <c r="N798" t="s">
        <v>91</v>
      </c>
      <c r="O798" t="s">
        <v>92</v>
      </c>
      <c r="S798" t="s">
        <v>108</v>
      </c>
      <c r="T798" t="s">
        <v>381</v>
      </c>
      <c r="U798" t="s">
        <v>248</v>
      </c>
    </row>
    <row r="799" spans="1:21" x14ac:dyDescent="0.3">
      <c r="A799" t="s">
        <v>1880</v>
      </c>
      <c r="B799" s="6" t="str">
        <f>HYPERLINK("http://data.ntsb.gov/carol-repgen/api/Aviation/ReportMain/GenerateNewestReport/100068/pdf","AccidentReport")</f>
        <v>AccidentReport</v>
      </c>
      <c r="C799" t="s">
        <v>1878</v>
      </c>
      <c r="D799" t="s">
        <v>1723</v>
      </c>
      <c r="E799" t="s">
        <v>485</v>
      </c>
      <c r="F799" t="s">
        <v>88</v>
      </c>
      <c r="G799">
        <v>41.414999999999999</v>
      </c>
      <c r="H799">
        <v>-96.109168999999994</v>
      </c>
      <c r="K799" t="s">
        <v>155</v>
      </c>
      <c r="L799">
        <v>1</v>
      </c>
      <c r="M799" t="s">
        <v>90</v>
      </c>
      <c r="N799" t="s">
        <v>100</v>
      </c>
      <c r="O799" t="s">
        <v>295</v>
      </c>
      <c r="S799" t="s">
        <v>531</v>
      </c>
      <c r="T799" t="s">
        <v>1881</v>
      </c>
      <c r="U799" t="s">
        <v>103</v>
      </c>
    </row>
    <row r="800" spans="1:21" x14ac:dyDescent="0.3">
      <c r="A800" t="s">
        <v>1882</v>
      </c>
      <c r="B800" s="6" t="str">
        <f>HYPERLINK("http://data.ntsb.gov/carol-repgen/api/Aviation/ReportMain/GenerateNewestReport/100093/pdf","AccidentReport")</f>
        <v>AccidentReport</v>
      </c>
      <c r="C800" t="s">
        <v>1878</v>
      </c>
      <c r="D800" t="s">
        <v>1883</v>
      </c>
      <c r="E800" t="s">
        <v>176</v>
      </c>
      <c r="F800" t="s">
        <v>88</v>
      </c>
      <c r="G800">
        <v>46.672778999999998</v>
      </c>
      <c r="H800">
        <v>-118.13666499999999</v>
      </c>
      <c r="K800" t="s">
        <v>155</v>
      </c>
      <c r="L800">
        <v>1</v>
      </c>
      <c r="M800" t="s">
        <v>90</v>
      </c>
      <c r="N800" t="s">
        <v>91</v>
      </c>
      <c r="O800" t="s">
        <v>92</v>
      </c>
      <c r="S800" t="s">
        <v>108</v>
      </c>
      <c r="T800" t="s">
        <v>159</v>
      </c>
      <c r="U800" t="s">
        <v>186</v>
      </c>
    </row>
    <row r="801" spans="1:21" x14ac:dyDescent="0.3">
      <c r="A801" t="s">
        <v>1884</v>
      </c>
      <c r="B801" s="6" t="str">
        <f>HYPERLINK("http://data.ntsb.gov/carol-repgen/api/Aviation/ReportMain/GenerateNewestReport/100105/pdf","AccidentReport")</f>
        <v>AccidentReport</v>
      </c>
      <c r="C801" t="s">
        <v>1878</v>
      </c>
      <c r="D801" t="s">
        <v>1885</v>
      </c>
      <c r="E801" t="s">
        <v>180</v>
      </c>
      <c r="F801" t="s">
        <v>88</v>
      </c>
      <c r="G801">
        <v>44.707777999999998</v>
      </c>
      <c r="H801">
        <v>-100.061668</v>
      </c>
      <c r="K801" t="s">
        <v>89</v>
      </c>
      <c r="L801">
        <v>1</v>
      </c>
      <c r="M801" t="s">
        <v>90</v>
      </c>
      <c r="N801" t="s">
        <v>91</v>
      </c>
      <c r="O801" t="s">
        <v>169</v>
      </c>
      <c r="S801" t="s">
        <v>515</v>
      </c>
      <c r="T801" t="s">
        <v>113</v>
      </c>
      <c r="U801" t="s">
        <v>103</v>
      </c>
    </row>
    <row r="802" spans="1:21" x14ac:dyDescent="0.3">
      <c r="A802" t="s">
        <v>1886</v>
      </c>
      <c r="B802" s="6" t="str">
        <f>HYPERLINK("http://data.ntsb.gov/carol-repgen/api/Aviation/ReportMain/GenerateNewestReport/100074/pdf","AccidentReport")</f>
        <v>AccidentReport</v>
      </c>
      <c r="C802" t="s">
        <v>1887</v>
      </c>
      <c r="D802" t="s">
        <v>1888</v>
      </c>
      <c r="E802" t="s">
        <v>651</v>
      </c>
      <c r="F802" t="s">
        <v>88</v>
      </c>
      <c r="G802">
        <v>41.7</v>
      </c>
      <c r="H802">
        <v>-73.729163999999997</v>
      </c>
      <c r="I802">
        <v>2</v>
      </c>
      <c r="J802">
        <v>3</v>
      </c>
      <c r="K802" t="s">
        <v>107</v>
      </c>
      <c r="L802">
        <v>1</v>
      </c>
      <c r="M802" t="s">
        <v>147</v>
      </c>
      <c r="N802" t="s">
        <v>91</v>
      </c>
      <c r="O802" t="s">
        <v>92</v>
      </c>
      <c r="S802" t="s">
        <v>108</v>
      </c>
      <c r="T802" t="s">
        <v>159</v>
      </c>
      <c r="U802" t="s">
        <v>248</v>
      </c>
    </row>
    <row r="803" spans="1:21" x14ac:dyDescent="0.3">
      <c r="A803" t="s">
        <v>1889</v>
      </c>
      <c r="B803" s="6" t="str">
        <f>HYPERLINK("http://data.ntsb.gov/carol-repgen/api/Aviation/ReportMain/GenerateNewestReport/100117/pdf","AccidentReport")</f>
        <v>AccidentReport</v>
      </c>
      <c r="C803" t="s">
        <v>1887</v>
      </c>
      <c r="D803" t="s">
        <v>1890</v>
      </c>
      <c r="E803" t="s">
        <v>786</v>
      </c>
      <c r="F803" t="s">
        <v>88</v>
      </c>
      <c r="G803">
        <v>33.496111999999997</v>
      </c>
      <c r="H803">
        <v>-86.221664000000004</v>
      </c>
      <c r="K803" t="s">
        <v>155</v>
      </c>
      <c r="L803">
        <v>1</v>
      </c>
      <c r="M803" t="s">
        <v>90</v>
      </c>
      <c r="N803" t="s">
        <v>91</v>
      </c>
      <c r="O803" t="s">
        <v>92</v>
      </c>
      <c r="S803" t="s">
        <v>108</v>
      </c>
      <c r="T803" t="s">
        <v>118</v>
      </c>
      <c r="U803" t="s">
        <v>186</v>
      </c>
    </row>
    <row r="804" spans="1:21" x14ac:dyDescent="0.3">
      <c r="A804" t="s">
        <v>1891</v>
      </c>
      <c r="B804" s="6" t="str">
        <f>HYPERLINK("http://data.ntsb.gov/carol-repgen/api/Aviation/ReportMain/GenerateNewestReport/100096/pdf","AccidentReport")</f>
        <v>AccidentReport</v>
      </c>
      <c r="C804" t="s">
        <v>1887</v>
      </c>
      <c r="D804" t="s">
        <v>1892</v>
      </c>
      <c r="E804" t="s">
        <v>98</v>
      </c>
      <c r="F804" t="s">
        <v>88</v>
      </c>
      <c r="G804">
        <v>29.18</v>
      </c>
      <c r="H804">
        <v>-81.058052000000004</v>
      </c>
      <c r="K804" t="s">
        <v>89</v>
      </c>
      <c r="L804">
        <v>1</v>
      </c>
      <c r="M804" t="s">
        <v>90</v>
      </c>
      <c r="N804" t="s">
        <v>91</v>
      </c>
      <c r="O804" t="s">
        <v>92</v>
      </c>
      <c r="S804" t="s">
        <v>93</v>
      </c>
      <c r="T804" t="s">
        <v>220</v>
      </c>
      <c r="U804" t="s">
        <v>221</v>
      </c>
    </row>
    <row r="805" spans="1:21" x14ac:dyDescent="0.3">
      <c r="A805" t="s">
        <v>1891</v>
      </c>
      <c r="B805" s="6" t="str">
        <f>HYPERLINK("http://data.ntsb.gov/carol-repgen/api/Aviation/ReportMain/GenerateNewestReport/100096/pdf","AccidentReport")</f>
        <v>AccidentReport</v>
      </c>
      <c r="C805" t="s">
        <v>1887</v>
      </c>
      <c r="D805" t="s">
        <v>1892</v>
      </c>
      <c r="E805" t="s">
        <v>98</v>
      </c>
      <c r="F805" t="s">
        <v>88</v>
      </c>
      <c r="G805">
        <v>29.18</v>
      </c>
      <c r="H805">
        <v>-81.058052000000004</v>
      </c>
      <c r="K805" t="s">
        <v>89</v>
      </c>
      <c r="L805">
        <v>2</v>
      </c>
      <c r="M805" t="s">
        <v>90</v>
      </c>
      <c r="N805" t="s">
        <v>91</v>
      </c>
      <c r="O805" t="s">
        <v>92</v>
      </c>
      <c r="S805" t="s">
        <v>93</v>
      </c>
      <c r="T805" t="s">
        <v>220</v>
      </c>
      <c r="U805" t="s">
        <v>221</v>
      </c>
    </row>
    <row r="806" spans="1:21" x14ac:dyDescent="0.3">
      <c r="A806" t="s">
        <v>1893</v>
      </c>
      <c r="B806" s="6" t="str">
        <f>HYPERLINK("http://data.ntsb.gov/carol-repgen/api/Aviation/ReportMain/GenerateNewestReport/100076/pdf","AccidentReport")</f>
        <v>AccidentReport</v>
      </c>
      <c r="C806" t="s">
        <v>1887</v>
      </c>
      <c r="D806" t="s">
        <v>1894</v>
      </c>
      <c r="E806" t="s">
        <v>128</v>
      </c>
      <c r="F806" t="s">
        <v>88</v>
      </c>
      <c r="G806">
        <v>33.466667000000001</v>
      </c>
      <c r="H806">
        <v>-105.535003</v>
      </c>
      <c r="J806">
        <v>2</v>
      </c>
      <c r="K806" t="s">
        <v>99</v>
      </c>
      <c r="L806">
        <v>1</v>
      </c>
      <c r="M806" t="s">
        <v>90</v>
      </c>
      <c r="N806" t="s">
        <v>91</v>
      </c>
      <c r="O806" t="s">
        <v>92</v>
      </c>
      <c r="S806" t="s">
        <v>108</v>
      </c>
      <c r="T806" t="s">
        <v>381</v>
      </c>
      <c r="U806" t="s">
        <v>248</v>
      </c>
    </row>
    <row r="807" spans="1:21" x14ac:dyDescent="0.3">
      <c r="A807" t="s">
        <v>1895</v>
      </c>
      <c r="B807" s="6" t="str">
        <f>HYPERLINK("http://data.ntsb.gov/carol-repgen/api/Aviation/ReportMain/GenerateNewestReport/100078/pdf","AccidentReport")</f>
        <v>AccidentReport</v>
      </c>
      <c r="C807" t="s">
        <v>1896</v>
      </c>
      <c r="D807" t="s">
        <v>1897</v>
      </c>
      <c r="E807" t="s">
        <v>228</v>
      </c>
      <c r="F807" t="s">
        <v>88</v>
      </c>
      <c r="G807">
        <v>29.816943999999999</v>
      </c>
      <c r="H807">
        <v>-89.276390000000006</v>
      </c>
      <c r="I807">
        <v>1</v>
      </c>
      <c r="J807">
        <v>2</v>
      </c>
      <c r="K807" t="s">
        <v>107</v>
      </c>
      <c r="L807">
        <v>1</v>
      </c>
      <c r="M807" t="s">
        <v>147</v>
      </c>
      <c r="N807" t="s">
        <v>91</v>
      </c>
      <c r="O807" t="s">
        <v>92</v>
      </c>
      <c r="S807" t="s">
        <v>108</v>
      </c>
      <c r="T807" t="s">
        <v>381</v>
      </c>
      <c r="U807" t="s">
        <v>186</v>
      </c>
    </row>
    <row r="808" spans="1:21" x14ac:dyDescent="0.3">
      <c r="A808" t="s">
        <v>1898</v>
      </c>
      <c r="B808" s="6" t="str">
        <f>HYPERLINK("http://data.ntsb.gov/carol-repgen/api/Aviation/ReportMain/GenerateNewestReport/100075/pdf","AccidentReport")</f>
        <v>AccidentReport</v>
      </c>
      <c r="C808" t="s">
        <v>1896</v>
      </c>
      <c r="D808" t="s">
        <v>1899</v>
      </c>
      <c r="E808" t="s">
        <v>1900</v>
      </c>
      <c r="F808" t="s">
        <v>88</v>
      </c>
      <c r="G808">
        <v>39.690555000000003</v>
      </c>
      <c r="H808">
        <v>-75.638335999999995</v>
      </c>
      <c r="I808">
        <v>2</v>
      </c>
      <c r="J808">
        <v>0</v>
      </c>
      <c r="K808" t="s">
        <v>107</v>
      </c>
      <c r="L808">
        <v>1</v>
      </c>
      <c r="M808" t="s">
        <v>90</v>
      </c>
      <c r="N808" t="s">
        <v>91</v>
      </c>
      <c r="O808" t="s">
        <v>92</v>
      </c>
      <c r="S808" t="s">
        <v>93</v>
      </c>
      <c r="T808" t="s">
        <v>118</v>
      </c>
      <c r="U808" t="s">
        <v>150</v>
      </c>
    </row>
    <row r="809" spans="1:21" x14ac:dyDescent="0.3">
      <c r="A809" t="s">
        <v>1901</v>
      </c>
      <c r="B809" s="6" t="str">
        <f>HYPERLINK("http://data.ntsb.gov/carol-repgen/api/Aviation/ReportMain/GenerateNewestReport/100103/pdf","AccidentReport")</f>
        <v>AccidentReport</v>
      </c>
      <c r="C809" t="s">
        <v>1896</v>
      </c>
      <c r="D809" t="s">
        <v>1128</v>
      </c>
      <c r="E809" t="s">
        <v>233</v>
      </c>
      <c r="F809" t="s">
        <v>88</v>
      </c>
      <c r="G809">
        <v>64.279998000000006</v>
      </c>
      <c r="H809">
        <v>-148.11000000000001</v>
      </c>
      <c r="K809" t="s">
        <v>89</v>
      </c>
      <c r="L809">
        <v>1</v>
      </c>
      <c r="M809" t="s">
        <v>90</v>
      </c>
      <c r="N809" t="s">
        <v>91</v>
      </c>
      <c r="O809" t="s">
        <v>92</v>
      </c>
      <c r="S809" t="s">
        <v>108</v>
      </c>
      <c r="T809" t="s">
        <v>109</v>
      </c>
      <c r="U809" t="s">
        <v>95</v>
      </c>
    </row>
    <row r="810" spans="1:21" x14ac:dyDescent="0.3">
      <c r="A810" t="s">
        <v>1902</v>
      </c>
      <c r="B810" s="6" t="str">
        <f>HYPERLINK("http://data.ntsb.gov/carol-repgen/api/Aviation/ReportMain/GenerateNewestReport/100089/pdf","AccidentReport")</f>
        <v>AccidentReport</v>
      </c>
      <c r="C810" t="s">
        <v>1903</v>
      </c>
      <c r="D810" t="s">
        <v>1708</v>
      </c>
      <c r="E810" t="s">
        <v>203</v>
      </c>
      <c r="F810" t="s">
        <v>88</v>
      </c>
      <c r="G810">
        <v>43.582777999999998</v>
      </c>
      <c r="H810">
        <v>-90.914443000000006</v>
      </c>
      <c r="I810">
        <v>1</v>
      </c>
      <c r="K810" t="s">
        <v>107</v>
      </c>
      <c r="L810">
        <v>1</v>
      </c>
      <c r="M810" t="s">
        <v>147</v>
      </c>
      <c r="N810" t="s">
        <v>100</v>
      </c>
      <c r="O810" t="s">
        <v>92</v>
      </c>
      <c r="S810" t="s">
        <v>108</v>
      </c>
      <c r="T810" t="s">
        <v>159</v>
      </c>
      <c r="U810" t="s">
        <v>150</v>
      </c>
    </row>
    <row r="811" spans="1:21" x14ac:dyDescent="0.3">
      <c r="A811" t="s">
        <v>1904</v>
      </c>
      <c r="B811" s="6" t="str">
        <f>HYPERLINK("http://data.ntsb.gov/carol-repgen/api/Aviation/ReportMain/GenerateNewestReport/100088/pdf","AccidentReport")</f>
        <v>AccidentReport</v>
      </c>
      <c r="C811" t="s">
        <v>1903</v>
      </c>
      <c r="D811" t="s">
        <v>1905</v>
      </c>
      <c r="E811" t="s">
        <v>265</v>
      </c>
      <c r="F811" t="s">
        <v>88</v>
      </c>
      <c r="G811">
        <v>37.86</v>
      </c>
      <c r="H811">
        <v>-76.884719000000004</v>
      </c>
      <c r="J811">
        <v>1</v>
      </c>
      <c r="K811" t="s">
        <v>99</v>
      </c>
      <c r="L811">
        <v>1</v>
      </c>
      <c r="M811" t="s">
        <v>90</v>
      </c>
      <c r="N811" t="s">
        <v>91</v>
      </c>
      <c r="O811" t="s">
        <v>92</v>
      </c>
      <c r="S811" t="s">
        <v>108</v>
      </c>
      <c r="T811" t="s">
        <v>587</v>
      </c>
      <c r="U811" t="s">
        <v>186</v>
      </c>
    </row>
    <row r="812" spans="1:21" x14ac:dyDescent="0.3">
      <c r="A812" t="s">
        <v>1906</v>
      </c>
      <c r="B812" s="6" t="str">
        <f>HYPERLINK("http://data.ntsb.gov/carol-repgen/api/Aviation/ReportMain/GenerateNewestReport/100094/pdf","AccidentReport")</f>
        <v>AccidentReport</v>
      </c>
      <c r="C812" t="s">
        <v>1903</v>
      </c>
      <c r="D812" t="s">
        <v>1907</v>
      </c>
      <c r="E812" t="s">
        <v>128</v>
      </c>
      <c r="F812" t="s">
        <v>88</v>
      </c>
      <c r="G812">
        <v>36.178610999999997</v>
      </c>
      <c r="H812">
        <v>-106.961387</v>
      </c>
      <c r="K812" t="s">
        <v>89</v>
      </c>
      <c r="L812">
        <v>1</v>
      </c>
      <c r="M812" t="s">
        <v>90</v>
      </c>
      <c r="N812" t="s">
        <v>91</v>
      </c>
      <c r="O812" t="s">
        <v>92</v>
      </c>
      <c r="S812" t="s">
        <v>108</v>
      </c>
      <c r="T812" t="s">
        <v>94</v>
      </c>
      <c r="U812" t="s">
        <v>248</v>
      </c>
    </row>
    <row r="813" spans="1:21" x14ac:dyDescent="0.3">
      <c r="A813" t="s">
        <v>1908</v>
      </c>
      <c r="B813" s="6" t="str">
        <f>HYPERLINK("http://data.ntsb.gov/carol-repgen/api/Aviation/ReportMain/GenerateNewestReport/100097/pdf","AccidentReport")</f>
        <v>AccidentReport</v>
      </c>
      <c r="C813" t="s">
        <v>1903</v>
      </c>
      <c r="D813" t="s">
        <v>1909</v>
      </c>
      <c r="E813" t="s">
        <v>206</v>
      </c>
      <c r="F813" t="s">
        <v>88</v>
      </c>
      <c r="G813">
        <v>35.101112000000001</v>
      </c>
      <c r="H813">
        <v>-75.965834999999998</v>
      </c>
      <c r="K813" t="s">
        <v>155</v>
      </c>
      <c r="L813">
        <v>1</v>
      </c>
      <c r="M813" t="s">
        <v>90</v>
      </c>
      <c r="N813" t="s">
        <v>91</v>
      </c>
      <c r="O813" t="s">
        <v>92</v>
      </c>
      <c r="S813" t="s">
        <v>108</v>
      </c>
      <c r="T813" t="s">
        <v>102</v>
      </c>
      <c r="U813" t="s">
        <v>95</v>
      </c>
    </row>
    <row r="814" spans="1:21" x14ac:dyDescent="0.3">
      <c r="A814" t="s">
        <v>1910</v>
      </c>
      <c r="B814" s="6" t="str">
        <f>HYPERLINK("http://data.ntsb.gov/carol-repgen/api/Aviation/ReportMain/GenerateNewestReport/100086/pdf","AccidentReport")</f>
        <v>AccidentReport</v>
      </c>
      <c r="C814" t="s">
        <v>1903</v>
      </c>
      <c r="D814" t="s">
        <v>1911</v>
      </c>
      <c r="E814" t="s">
        <v>176</v>
      </c>
      <c r="F814" t="s">
        <v>88</v>
      </c>
      <c r="G814">
        <v>47.619166999999997</v>
      </c>
      <c r="H814">
        <v>-117.53527800000001</v>
      </c>
      <c r="K814" t="s">
        <v>89</v>
      </c>
      <c r="L814">
        <v>1</v>
      </c>
      <c r="M814" t="s">
        <v>90</v>
      </c>
      <c r="N814" t="s">
        <v>91</v>
      </c>
      <c r="O814" t="s">
        <v>92</v>
      </c>
      <c r="S814" t="s">
        <v>108</v>
      </c>
      <c r="T814" t="s">
        <v>109</v>
      </c>
      <c r="U814" t="s">
        <v>95</v>
      </c>
    </row>
    <row r="815" spans="1:21" x14ac:dyDescent="0.3">
      <c r="A815" t="s">
        <v>1912</v>
      </c>
      <c r="B815" s="6" t="str">
        <f>HYPERLINK("http://data.ntsb.gov/carol-repgen/api/Aviation/ReportMain/GenerateNewestReport/100100/pdf","AccidentReport")</f>
        <v>AccidentReport</v>
      </c>
      <c r="C815" t="s">
        <v>1913</v>
      </c>
      <c r="D815" t="s">
        <v>1914</v>
      </c>
      <c r="E815" t="s">
        <v>399</v>
      </c>
      <c r="F815" t="s">
        <v>88</v>
      </c>
      <c r="G815">
        <v>38.726112000000001</v>
      </c>
      <c r="H815">
        <v>-99.34111</v>
      </c>
      <c r="I815">
        <v>1</v>
      </c>
      <c r="K815" t="s">
        <v>107</v>
      </c>
      <c r="L815">
        <v>1</v>
      </c>
      <c r="M815" t="s">
        <v>147</v>
      </c>
      <c r="N815" t="s">
        <v>91</v>
      </c>
      <c r="O815" t="s">
        <v>169</v>
      </c>
      <c r="S815" t="s">
        <v>515</v>
      </c>
      <c r="T815" t="s">
        <v>102</v>
      </c>
      <c r="U815" t="s">
        <v>103</v>
      </c>
    </row>
    <row r="816" spans="1:21" x14ac:dyDescent="0.3">
      <c r="A816" t="s">
        <v>1915</v>
      </c>
      <c r="B816" s="6" t="str">
        <f>HYPERLINK("http://data.ntsb.gov/carol-repgen/api/Aviation/ReportMain/GenerateNewestReport/100102/pdf","AccidentReport")</f>
        <v>AccidentReport</v>
      </c>
      <c r="C816" t="s">
        <v>1913</v>
      </c>
      <c r="D816" t="s">
        <v>1916</v>
      </c>
      <c r="E816" t="s">
        <v>138</v>
      </c>
      <c r="F816" t="s">
        <v>88</v>
      </c>
      <c r="G816">
        <v>42.624721000000001</v>
      </c>
      <c r="H816">
        <v>-83.973335000000006</v>
      </c>
      <c r="I816">
        <v>2</v>
      </c>
      <c r="K816" t="s">
        <v>107</v>
      </c>
      <c r="L816">
        <v>1</v>
      </c>
      <c r="M816" t="s">
        <v>90</v>
      </c>
      <c r="N816" t="s">
        <v>91</v>
      </c>
      <c r="O816" t="s">
        <v>92</v>
      </c>
      <c r="S816" t="s">
        <v>108</v>
      </c>
      <c r="T816" t="s">
        <v>159</v>
      </c>
      <c r="U816" t="s">
        <v>248</v>
      </c>
    </row>
    <row r="817" spans="1:21" x14ac:dyDescent="0.3">
      <c r="A817" t="s">
        <v>1917</v>
      </c>
      <c r="B817" s="6" t="str">
        <f>HYPERLINK("http://data.ntsb.gov/carol-repgen/api/Aviation/ReportMain/GenerateNewestReport/100104/pdf","AccidentReport")</f>
        <v>AccidentReport</v>
      </c>
      <c r="C817" t="s">
        <v>1913</v>
      </c>
      <c r="D817" t="s">
        <v>1918</v>
      </c>
      <c r="E817" t="s">
        <v>131</v>
      </c>
      <c r="F817" t="s">
        <v>88</v>
      </c>
      <c r="G817">
        <v>38</v>
      </c>
      <c r="H817">
        <v>-107</v>
      </c>
      <c r="J817">
        <v>1</v>
      </c>
      <c r="K817" t="s">
        <v>99</v>
      </c>
      <c r="L817">
        <v>1</v>
      </c>
      <c r="M817" t="s">
        <v>90</v>
      </c>
      <c r="N817" t="s">
        <v>100</v>
      </c>
      <c r="O817" t="s">
        <v>169</v>
      </c>
      <c r="S817" t="s">
        <v>515</v>
      </c>
      <c r="T817" t="s">
        <v>118</v>
      </c>
      <c r="U817" t="s">
        <v>103</v>
      </c>
    </row>
    <row r="818" spans="1:21" x14ac:dyDescent="0.3">
      <c r="A818" t="s">
        <v>1919</v>
      </c>
      <c r="B818" s="6" t="str">
        <f>HYPERLINK("http://data.ntsb.gov/carol-repgen/api/Aviation/ReportMain/GenerateNewestReport/100107/pdf","AccidentReport")</f>
        <v>AccidentReport</v>
      </c>
      <c r="C818" t="s">
        <v>1913</v>
      </c>
      <c r="D818" t="s">
        <v>1920</v>
      </c>
      <c r="E818" t="s">
        <v>117</v>
      </c>
      <c r="F818" t="s">
        <v>88</v>
      </c>
      <c r="G818">
        <v>40.931109999999997</v>
      </c>
      <c r="H818">
        <v>-79.662222999999997</v>
      </c>
      <c r="K818" t="s">
        <v>89</v>
      </c>
      <c r="L818">
        <v>1</v>
      </c>
      <c r="M818" t="s">
        <v>90</v>
      </c>
      <c r="N818" t="s">
        <v>91</v>
      </c>
      <c r="O818" t="s">
        <v>92</v>
      </c>
      <c r="S818" t="s">
        <v>108</v>
      </c>
      <c r="T818" t="s">
        <v>159</v>
      </c>
      <c r="U818" t="s">
        <v>186</v>
      </c>
    </row>
    <row r="819" spans="1:21" x14ac:dyDescent="0.3">
      <c r="A819" t="s">
        <v>1921</v>
      </c>
      <c r="B819" s="6" t="str">
        <f>HYPERLINK("http://data.ntsb.gov/carol-repgen/api/Aviation/ReportMain/GenerateNewestReport/100133/pdf","AccidentReport")</f>
        <v>AccidentReport</v>
      </c>
      <c r="C819" t="s">
        <v>1913</v>
      </c>
      <c r="D819" t="s">
        <v>1922</v>
      </c>
      <c r="E819" t="s">
        <v>176</v>
      </c>
      <c r="F819" t="s">
        <v>88</v>
      </c>
      <c r="G819">
        <v>48.608333000000002</v>
      </c>
      <c r="H819">
        <v>-122.71611</v>
      </c>
      <c r="J819">
        <v>1</v>
      </c>
      <c r="K819" t="s">
        <v>99</v>
      </c>
      <c r="L819">
        <v>1</v>
      </c>
      <c r="M819" t="s">
        <v>90</v>
      </c>
      <c r="N819" t="s">
        <v>100</v>
      </c>
      <c r="O819" t="s">
        <v>92</v>
      </c>
      <c r="S819" t="s">
        <v>173</v>
      </c>
      <c r="T819" t="s">
        <v>113</v>
      </c>
      <c r="U819" t="s">
        <v>103</v>
      </c>
    </row>
    <row r="820" spans="1:21" x14ac:dyDescent="0.3">
      <c r="A820" t="s">
        <v>1923</v>
      </c>
      <c r="B820" s="6" t="str">
        <f>HYPERLINK("http://data.ntsb.gov/carol-repgen/api/Aviation/ReportMain/GenerateNewestReport/100135/pdf","AccidentReport")</f>
        <v>AccidentReport</v>
      </c>
      <c r="C820" t="s">
        <v>1913</v>
      </c>
      <c r="D820" t="s">
        <v>340</v>
      </c>
      <c r="E820" t="s">
        <v>176</v>
      </c>
      <c r="F820" t="s">
        <v>88</v>
      </c>
      <c r="G820">
        <v>48.160831000000002</v>
      </c>
      <c r="H820">
        <v>-122.159164</v>
      </c>
      <c r="K820" t="s">
        <v>155</v>
      </c>
      <c r="L820">
        <v>1</v>
      </c>
      <c r="M820" t="s">
        <v>90</v>
      </c>
      <c r="N820" t="s">
        <v>91</v>
      </c>
      <c r="O820" t="s">
        <v>92</v>
      </c>
      <c r="S820" t="s">
        <v>108</v>
      </c>
      <c r="T820" t="s">
        <v>94</v>
      </c>
      <c r="U820" t="s">
        <v>248</v>
      </c>
    </row>
    <row r="821" spans="1:21" x14ac:dyDescent="0.3">
      <c r="A821" t="s">
        <v>1924</v>
      </c>
      <c r="B821" s="6" t="str">
        <f>HYPERLINK("http://data.ntsb.gov/carol-repgen/api/Aviation/ReportMain/GenerateNewestReport/100136/pdf","AccidentReport")</f>
        <v>AccidentReport</v>
      </c>
      <c r="C821" t="s">
        <v>1913</v>
      </c>
      <c r="D821" t="s">
        <v>1739</v>
      </c>
      <c r="E821" t="s">
        <v>251</v>
      </c>
      <c r="F821" t="s">
        <v>88</v>
      </c>
      <c r="G821">
        <v>44.123610999999997</v>
      </c>
      <c r="H821">
        <v>-123.202224</v>
      </c>
      <c r="K821" t="s">
        <v>89</v>
      </c>
      <c r="L821">
        <v>1</v>
      </c>
      <c r="M821" t="s">
        <v>90</v>
      </c>
      <c r="N821" t="s">
        <v>91</v>
      </c>
      <c r="O821" t="s">
        <v>92</v>
      </c>
      <c r="S821" t="s">
        <v>108</v>
      </c>
      <c r="T821" t="s">
        <v>587</v>
      </c>
      <c r="U821" t="s">
        <v>248</v>
      </c>
    </row>
    <row r="822" spans="1:21" x14ac:dyDescent="0.3">
      <c r="A822" t="s">
        <v>1925</v>
      </c>
      <c r="B822" s="6" t="str">
        <f>HYPERLINK("http://data.ntsb.gov/carol-repgen/api/Aviation/ReportMain/GenerateNewestReport/100137/pdf","AccidentReport")</f>
        <v>AccidentReport</v>
      </c>
      <c r="C822" t="s">
        <v>1913</v>
      </c>
      <c r="D822" t="s">
        <v>1926</v>
      </c>
      <c r="E822" t="s">
        <v>106</v>
      </c>
      <c r="F822" t="s">
        <v>88</v>
      </c>
      <c r="G822">
        <v>37.357776000000001</v>
      </c>
      <c r="H822">
        <v>-122.51222199999999</v>
      </c>
      <c r="K822" t="s">
        <v>89</v>
      </c>
      <c r="L822">
        <v>1</v>
      </c>
      <c r="M822" t="s">
        <v>147</v>
      </c>
      <c r="N822" t="s">
        <v>91</v>
      </c>
      <c r="O822" t="s">
        <v>92</v>
      </c>
      <c r="S822" t="s">
        <v>108</v>
      </c>
      <c r="T822" t="s">
        <v>159</v>
      </c>
      <c r="U822" t="s">
        <v>186</v>
      </c>
    </row>
    <row r="823" spans="1:21" x14ac:dyDescent="0.3">
      <c r="A823" t="s">
        <v>1927</v>
      </c>
      <c r="B823" s="6" t="str">
        <f>HYPERLINK("http://data.ntsb.gov/carol-repgen/api/Aviation/ReportMain/GenerateNewestReport/100112/pdf","AccidentReport")</f>
        <v>AccidentReport</v>
      </c>
      <c r="C823" t="s">
        <v>1928</v>
      </c>
      <c r="D823" t="s">
        <v>1929</v>
      </c>
      <c r="E823" t="s">
        <v>87</v>
      </c>
      <c r="F823" t="s">
        <v>88</v>
      </c>
      <c r="G823">
        <v>47.209167000000001</v>
      </c>
      <c r="H823">
        <v>-93.510002</v>
      </c>
      <c r="K823" t="s">
        <v>155</v>
      </c>
      <c r="L823">
        <v>1</v>
      </c>
      <c r="M823" t="s">
        <v>90</v>
      </c>
      <c r="N823" t="s">
        <v>91</v>
      </c>
      <c r="O823" t="s">
        <v>92</v>
      </c>
      <c r="S823" t="s">
        <v>108</v>
      </c>
      <c r="T823" t="s">
        <v>159</v>
      </c>
      <c r="U823" t="s">
        <v>119</v>
      </c>
    </row>
    <row r="824" spans="1:21" x14ac:dyDescent="0.3">
      <c r="A824" t="s">
        <v>1930</v>
      </c>
      <c r="B824" s="6" t="str">
        <f>HYPERLINK("http://data.ntsb.gov/carol-repgen/api/Aviation/ReportMain/GenerateNewestReport/100115/pdf","AccidentReport")</f>
        <v>AccidentReport</v>
      </c>
      <c r="C824" t="s">
        <v>1928</v>
      </c>
      <c r="D824" t="s">
        <v>781</v>
      </c>
      <c r="E824" t="s">
        <v>98</v>
      </c>
      <c r="F824" t="s">
        <v>88</v>
      </c>
      <c r="G824">
        <v>28.196200000000001</v>
      </c>
      <c r="H824">
        <v>-81.360299999999995</v>
      </c>
      <c r="J824">
        <v>2</v>
      </c>
      <c r="K824" t="s">
        <v>99</v>
      </c>
      <c r="L824">
        <v>1</v>
      </c>
      <c r="M824" t="s">
        <v>90</v>
      </c>
      <c r="N824" t="s">
        <v>91</v>
      </c>
      <c r="O824" t="s">
        <v>92</v>
      </c>
      <c r="S824" t="s">
        <v>108</v>
      </c>
      <c r="T824" t="s">
        <v>139</v>
      </c>
      <c r="U824" t="s">
        <v>186</v>
      </c>
    </row>
    <row r="825" spans="1:21" x14ac:dyDescent="0.3">
      <c r="A825" t="s">
        <v>1931</v>
      </c>
      <c r="B825" s="6" t="str">
        <f>HYPERLINK("http://data.ntsb.gov/carol-repgen/api/Aviation/ReportMain/GenerateNewestReport/100118/pdf","AccidentReport")</f>
        <v>AccidentReport</v>
      </c>
      <c r="C825" t="s">
        <v>1928</v>
      </c>
      <c r="D825" t="s">
        <v>294</v>
      </c>
      <c r="E825" t="s">
        <v>98</v>
      </c>
      <c r="F825" t="s">
        <v>88</v>
      </c>
      <c r="G825">
        <v>27.978888999999999</v>
      </c>
      <c r="H825">
        <v>-82.528334999999998</v>
      </c>
      <c r="K825" t="s">
        <v>89</v>
      </c>
      <c r="L825">
        <v>1</v>
      </c>
      <c r="M825" t="s">
        <v>90</v>
      </c>
      <c r="N825" t="s">
        <v>91</v>
      </c>
      <c r="O825" t="s">
        <v>92</v>
      </c>
      <c r="S825" t="s">
        <v>108</v>
      </c>
      <c r="T825" t="s">
        <v>109</v>
      </c>
      <c r="U825" t="s">
        <v>95</v>
      </c>
    </row>
    <row r="826" spans="1:21" x14ac:dyDescent="0.3">
      <c r="A826" t="s">
        <v>1932</v>
      </c>
      <c r="B826" s="6" t="str">
        <f>HYPERLINK("http://data.ntsb.gov/carol-repgen/api/Aviation/ReportMain/GenerateNewestReport/100119/pdf","AccidentReport")</f>
        <v>AccidentReport</v>
      </c>
      <c r="C826" t="s">
        <v>1928</v>
      </c>
      <c r="D826" t="s">
        <v>385</v>
      </c>
      <c r="E826" t="s">
        <v>106</v>
      </c>
      <c r="F826" t="s">
        <v>88</v>
      </c>
      <c r="G826">
        <v>37.689444999999999</v>
      </c>
      <c r="H826">
        <v>-121.81888499999999</v>
      </c>
      <c r="J826">
        <v>1</v>
      </c>
      <c r="K826" t="s">
        <v>99</v>
      </c>
      <c r="L826">
        <v>1</v>
      </c>
      <c r="M826" t="s">
        <v>90</v>
      </c>
      <c r="N826" t="s">
        <v>91</v>
      </c>
      <c r="O826" t="s">
        <v>92</v>
      </c>
      <c r="S826" t="s">
        <v>108</v>
      </c>
      <c r="T826" t="s">
        <v>159</v>
      </c>
      <c r="U826" t="s">
        <v>248</v>
      </c>
    </row>
    <row r="827" spans="1:21" x14ac:dyDescent="0.3">
      <c r="A827" t="s">
        <v>1933</v>
      </c>
      <c r="B827" s="6" t="str">
        <f>HYPERLINK("http://data.ntsb.gov/carol-repgen/api/Aviation/ReportMain/GenerateNewestReport/100125/pdf","AccidentReport")</f>
        <v>AccidentReport</v>
      </c>
      <c r="C827" t="s">
        <v>1934</v>
      </c>
      <c r="D827" t="s">
        <v>1935</v>
      </c>
      <c r="E827" t="s">
        <v>206</v>
      </c>
      <c r="F827" t="s">
        <v>88</v>
      </c>
      <c r="G827">
        <v>35.745277000000002</v>
      </c>
      <c r="H827">
        <v>-82.288330000000002</v>
      </c>
      <c r="K827" t="s">
        <v>89</v>
      </c>
      <c r="L827">
        <v>1</v>
      </c>
      <c r="M827" t="s">
        <v>90</v>
      </c>
      <c r="N827" t="s">
        <v>91</v>
      </c>
      <c r="O827" t="s">
        <v>92</v>
      </c>
      <c r="S827" t="s">
        <v>108</v>
      </c>
      <c r="T827" t="s">
        <v>102</v>
      </c>
      <c r="U827" t="s">
        <v>186</v>
      </c>
    </row>
    <row r="828" spans="1:21" x14ac:dyDescent="0.3">
      <c r="A828" t="s">
        <v>1936</v>
      </c>
      <c r="B828" s="6" t="str">
        <f>HYPERLINK("http://data.ntsb.gov/carol-repgen/api/Aviation/ReportMain/GenerateNewestReport/100127/pdf","AccidentReport")</f>
        <v>AccidentReport</v>
      </c>
      <c r="C828" t="s">
        <v>1934</v>
      </c>
      <c r="D828" t="s">
        <v>1514</v>
      </c>
      <c r="E828" t="s">
        <v>98</v>
      </c>
      <c r="F828" t="s">
        <v>88</v>
      </c>
      <c r="G828">
        <v>28.940276999999998</v>
      </c>
      <c r="H828">
        <v>-82.052222999999998</v>
      </c>
      <c r="K828" t="s">
        <v>89</v>
      </c>
      <c r="L828">
        <v>1</v>
      </c>
      <c r="M828" t="s">
        <v>90</v>
      </c>
      <c r="N828" t="s">
        <v>91</v>
      </c>
      <c r="O828" t="s">
        <v>92</v>
      </c>
      <c r="S828" t="s">
        <v>108</v>
      </c>
      <c r="T828" t="s">
        <v>109</v>
      </c>
      <c r="U828" t="s">
        <v>95</v>
      </c>
    </row>
    <row r="829" spans="1:21" x14ac:dyDescent="0.3">
      <c r="A829" t="s">
        <v>1937</v>
      </c>
      <c r="B829" s="6" t="str">
        <f>HYPERLINK("http://data.ntsb.gov/carol-repgen/api/Aviation/ReportMain/GenerateNewestReport/100129/pdf","AccidentReport")</f>
        <v>AccidentReport</v>
      </c>
      <c r="C829" t="s">
        <v>1934</v>
      </c>
      <c r="D829" t="s">
        <v>1135</v>
      </c>
      <c r="E829" t="s">
        <v>154</v>
      </c>
      <c r="F829" t="s">
        <v>88</v>
      </c>
      <c r="G829">
        <v>29.723333</v>
      </c>
      <c r="H829">
        <v>-98.694441999999995</v>
      </c>
      <c r="K829" t="s">
        <v>89</v>
      </c>
      <c r="L829">
        <v>1</v>
      </c>
      <c r="M829" t="s">
        <v>90</v>
      </c>
      <c r="N829" t="s">
        <v>893</v>
      </c>
      <c r="O829" t="s">
        <v>92</v>
      </c>
      <c r="S829" t="s">
        <v>1637</v>
      </c>
      <c r="T829" t="s">
        <v>1938</v>
      </c>
      <c r="U829" t="s">
        <v>150</v>
      </c>
    </row>
    <row r="830" spans="1:21" x14ac:dyDescent="0.3">
      <c r="A830" t="s">
        <v>1939</v>
      </c>
      <c r="B830" s="6" t="str">
        <f>HYPERLINK("http://data.ntsb.gov/carol-repgen/api/Aviation/ReportMain/GenerateNewestReport/100130/pdf","AccidentReport")</f>
        <v>AccidentReport</v>
      </c>
      <c r="C830" t="s">
        <v>1934</v>
      </c>
      <c r="D830" t="s">
        <v>243</v>
      </c>
      <c r="E830" t="s">
        <v>233</v>
      </c>
      <c r="F830" t="s">
        <v>88</v>
      </c>
      <c r="G830">
        <v>61.493330999999998</v>
      </c>
      <c r="H830">
        <v>-151.906387</v>
      </c>
      <c r="K830" t="s">
        <v>89</v>
      </c>
      <c r="L830">
        <v>1</v>
      </c>
      <c r="M830" t="s">
        <v>90</v>
      </c>
      <c r="N830" t="s">
        <v>91</v>
      </c>
      <c r="O830" t="s">
        <v>92</v>
      </c>
      <c r="S830" t="s">
        <v>108</v>
      </c>
      <c r="T830" t="s">
        <v>94</v>
      </c>
      <c r="U830" t="s">
        <v>95</v>
      </c>
    </row>
    <row r="831" spans="1:21" x14ac:dyDescent="0.3">
      <c r="A831" t="s">
        <v>1940</v>
      </c>
      <c r="B831" s="6" t="str">
        <f>HYPERLINK("http://data.ntsb.gov/carol-repgen/api/Aviation/ReportMain/GenerateNewestReport/100132/pdf","AccidentReport")</f>
        <v>AccidentReport</v>
      </c>
      <c r="C831" t="s">
        <v>1934</v>
      </c>
      <c r="D831" t="s">
        <v>1218</v>
      </c>
      <c r="E831" t="s">
        <v>106</v>
      </c>
      <c r="F831" t="s">
        <v>88</v>
      </c>
      <c r="G831">
        <v>33.734164999999997</v>
      </c>
      <c r="H831">
        <v>-117.02083500000001</v>
      </c>
      <c r="K831" t="s">
        <v>89</v>
      </c>
      <c r="L831">
        <v>1</v>
      </c>
      <c r="M831" t="s">
        <v>90</v>
      </c>
      <c r="N831" t="s">
        <v>91</v>
      </c>
      <c r="O831" t="s">
        <v>92</v>
      </c>
      <c r="S831" t="s">
        <v>93</v>
      </c>
      <c r="T831" t="s">
        <v>94</v>
      </c>
      <c r="U831" t="s">
        <v>95</v>
      </c>
    </row>
    <row r="832" spans="1:21" x14ac:dyDescent="0.3">
      <c r="A832" t="s">
        <v>1941</v>
      </c>
      <c r="B832" s="6" t="str">
        <f>HYPERLINK("http://data.ntsb.gov/carol-repgen/api/Aviation/ReportMain/GenerateNewestReport/100153/pdf","AccidentReport")</f>
        <v>AccidentReport</v>
      </c>
      <c r="C832" t="s">
        <v>1934</v>
      </c>
      <c r="D832" t="s">
        <v>1942</v>
      </c>
      <c r="E832" t="s">
        <v>734</v>
      </c>
      <c r="F832" t="s">
        <v>88</v>
      </c>
      <c r="G832">
        <v>44.693206000000004</v>
      </c>
      <c r="H832">
        <v>-69.381056999999998</v>
      </c>
      <c r="K832" t="s">
        <v>155</v>
      </c>
      <c r="L832">
        <v>1</v>
      </c>
      <c r="M832" t="s">
        <v>90</v>
      </c>
      <c r="N832" t="s">
        <v>91</v>
      </c>
      <c r="O832" t="s">
        <v>92</v>
      </c>
      <c r="S832" t="s">
        <v>108</v>
      </c>
      <c r="T832" t="s">
        <v>102</v>
      </c>
      <c r="U832" t="s">
        <v>248</v>
      </c>
    </row>
    <row r="833" spans="1:21" x14ac:dyDescent="0.3">
      <c r="A833" t="s">
        <v>1943</v>
      </c>
      <c r="B833" s="6" t="str">
        <f>HYPERLINK("http://data.ntsb.gov/carol-repgen/api/Aviation/ReportMain/GenerateNewestReport/100309/pdf","AccidentReport")</f>
        <v>AccidentReport</v>
      </c>
      <c r="C833" t="s">
        <v>1944</v>
      </c>
      <c r="D833" t="s">
        <v>1945</v>
      </c>
      <c r="E833" t="s">
        <v>165</v>
      </c>
      <c r="F833" t="s">
        <v>88</v>
      </c>
      <c r="G833">
        <v>34.604166999999997</v>
      </c>
      <c r="H833">
        <v>-98.395553000000007</v>
      </c>
      <c r="J833">
        <v>1</v>
      </c>
      <c r="K833" t="s">
        <v>99</v>
      </c>
      <c r="L833">
        <v>1</v>
      </c>
      <c r="M833" t="s">
        <v>89</v>
      </c>
      <c r="N833" t="s">
        <v>670</v>
      </c>
      <c r="O833" t="s">
        <v>92</v>
      </c>
      <c r="S833" t="s">
        <v>173</v>
      </c>
      <c r="T833" t="s">
        <v>109</v>
      </c>
      <c r="U833" t="s">
        <v>95</v>
      </c>
    </row>
    <row r="834" spans="1:21" x14ac:dyDescent="0.3">
      <c r="A834" t="s">
        <v>1946</v>
      </c>
      <c r="B834" s="6" t="str">
        <f>HYPERLINK("http://data.ntsb.gov/carol-repgen/api/Aviation/ReportMain/GenerateNewestReport/100123/pdf","AccidentReport")</f>
        <v>AccidentReport</v>
      </c>
      <c r="C834" t="s">
        <v>1944</v>
      </c>
      <c r="D834" t="s">
        <v>1947</v>
      </c>
      <c r="E834" t="s">
        <v>98</v>
      </c>
      <c r="F834" t="s">
        <v>88</v>
      </c>
      <c r="G834">
        <v>28.630555999999999</v>
      </c>
      <c r="H834">
        <v>-81.804443000000006</v>
      </c>
      <c r="I834">
        <v>1</v>
      </c>
      <c r="K834" t="s">
        <v>107</v>
      </c>
      <c r="L834">
        <v>1</v>
      </c>
      <c r="M834" t="s">
        <v>90</v>
      </c>
      <c r="N834" t="s">
        <v>91</v>
      </c>
      <c r="O834" t="s">
        <v>92</v>
      </c>
      <c r="S834" t="s">
        <v>108</v>
      </c>
      <c r="T834" t="s">
        <v>159</v>
      </c>
      <c r="U834" t="s">
        <v>150</v>
      </c>
    </row>
    <row r="835" spans="1:21" x14ac:dyDescent="0.3">
      <c r="A835" t="s">
        <v>1948</v>
      </c>
      <c r="B835" s="6" t="str">
        <f>HYPERLINK("http://data.ntsb.gov/carol-repgen/api/Aviation/ReportMain/GenerateNewestReport/100131/pdf","AccidentReport")</f>
        <v>AccidentReport</v>
      </c>
      <c r="C835" t="s">
        <v>1944</v>
      </c>
      <c r="D835" t="s">
        <v>1949</v>
      </c>
      <c r="E835" t="s">
        <v>98</v>
      </c>
      <c r="F835" t="s">
        <v>88</v>
      </c>
      <c r="G835">
        <v>27.032776999999999</v>
      </c>
      <c r="H835">
        <v>-80.111389000000003</v>
      </c>
      <c r="I835">
        <v>0</v>
      </c>
      <c r="J835">
        <v>0</v>
      </c>
      <c r="K835" t="s">
        <v>89</v>
      </c>
      <c r="L835">
        <v>1</v>
      </c>
      <c r="M835" t="s">
        <v>90</v>
      </c>
      <c r="N835" t="s">
        <v>91</v>
      </c>
      <c r="O835" t="s">
        <v>92</v>
      </c>
      <c r="S835" t="s">
        <v>108</v>
      </c>
      <c r="T835" t="s">
        <v>159</v>
      </c>
      <c r="U835" t="s">
        <v>186</v>
      </c>
    </row>
    <row r="836" spans="1:21" x14ac:dyDescent="0.3">
      <c r="A836" t="s">
        <v>1950</v>
      </c>
      <c r="B836" s="6" t="str">
        <f>HYPERLINK("http://data.ntsb.gov/carol-repgen/api/Aviation/ReportMain/GenerateNewestReport/100299/pdf","AccidentReport")</f>
        <v>AccidentReport</v>
      </c>
      <c r="C836" t="s">
        <v>1944</v>
      </c>
      <c r="D836" t="s">
        <v>653</v>
      </c>
      <c r="E836" t="s">
        <v>98</v>
      </c>
      <c r="F836" t="s">
        <v>88</v>
      </c>
      <c r="G836">
        <v>26.643332999999998</v>
      </c>
      <c r="H836">
        <v>-81.710280999999995</v>
      </c>
      <c r="K836" t="s">
        <v>89</v>
      </c>
      <c r="L836">
        <v>1</v>
      </c>
      <c r="M836" t="s">
        <v>90</v>
      </c>
      <c r="N836" t="s">
        <v>91</v>
      </c>
      <c r="O836" t="s">
        <v>92</v>
      </c>
      <c r="S836" t="s">
        <v>108</v>
      </c>
      <c r="T836" t="s">
        <v>542</v>
      </c>
      <c r="U836" t="s">
        <v>119</v>
      </c>
    </row>
    <row r="837" spans="1:21" x14ac:dyDescent="0.3">
      <c r="A837" t="s">
        <v>1951</v>
      </c>
      <c r="B837" s="6" t="str">
        <f>HYPERLINK("http://data.ntsb.gov/carol-repgen/api/Aviation/ReportMain/GenerateNewestReport/100124/pdf","AccidentReport")</f>
        <v>AccidentReport</v>
      </c>
      <c r="C837" t="s">
        <v>1944</v>
      </c>
      <c r="D837" t="s">
        <v>1952</v>
      </c>
      <c r="E837" t="s">
        <v>154</v>
      </c>
      <c r="F837" t="s">
        <v>88</v>
      </c>
      <c r="G837">
        <v>32.143053999999999</v>
      </c>
      <c r="H837">
        <v>-101.586944</v>
      </c>
      <c r="I837">
        <v>1</v>
      </c>
      <c r="K837" t="s">
        <v>107</v>
      </c>
      <c r="L837">
        <v>1</v>
      </c>
      <c r="M837" t="s">
        <v>90</v>
      </c>
      <c r="N837" t="s">
        <v>91</v>
      </c>
      <c r="O837" t="s">
        <v>92</v>
      </c>
      <c r="S837" t="s">
        <v>108</v>
      </c>
      <c r="T837" t="s">
        <v>229</v>
      </c>
      <c r="U837" t="s">
        <v>103</v>
      </c>
    </row>
    <row r="838" spans="1:21" x14ac:dyDescent="0.3">
      <c r="A838" t="s">
        <v>1953</v>
      </c>
      <c r="B838" s="6" t="str">
        <f>HYPERLINK("http://data.ntsb.gov/carol-repgen/api/Aviation/ReportMain/GenerateNewestReport/100149/pdf","AccidentReport")</f>
        <v>AccidentReport</v>
      </c>
      <c r="C838" t="s">
        <v>1954</v>
      </c>
      <c r="D838" t="s">
        <v>1169</v>
      </c>
      <c r="E838" t="s">
        <v>786</v>
      </c>
      <c r="F838" t="s">
        <v>88</v>
      </c>
      <c r="G838">
        <v>30.544720999999999</v>
      </c>
      <c r="H838">
        <v>-87.559448000000003</v>
      </c>
      <c r="J838">
        <v>2</v>
      </c>
      <c r="K838" t="s">
        <v>99</v>
      </c>
      <c r="L838">
        <v>1</v>
      </c>
      <c r="M838" t="s">
        <v>90</v>
      </c>
      <c r="N838" t="s">
        <v>893</v>
      </c>
      <c r="O838" t="s">
        <v>92</v>
      </c>
      <c r="S838" t="s">
        <v>108</v>
      </c>
      <c r="T838" t="s">
        <v>247</v>
      </c>
      <c r="U838" t="s">
        <v>95</v>
      </c>
    </row>
    <row r="839" spans="1:21" x14ac:dyDescent="0.3">
      <c r="A839" t="s">
        <v>1955</v>
      </c>
      <c r="B839" s="6" t="str">
        <f>HYPERLINK("http://data.ntsb.gov/carol-repgen/api/Aviation/ReportMain/GenerateNewestReport/100140/pdf","AccidentReport")</f>
        <v>AccidentReport</v>
      </c>
      <c r="C839" t="s">
        <v>1954</v>
      </c>
      <c r="D839" t="s">
        <v>1793</v>
      </c>
      <c r="E839" t="s">
        <v>154</v>
      </c>
      <c r="F839" t="s">
        <v>88</v>
      </c>
      <c r="G839">
        <v>31.404167000000001</v>
      </c>
      <c r="H839">
        <v>-97.214447000000007</v>
      </c>
      <c r="K839" t="s">
        <v>89</v>
      </c>
      <c r="L839">
        <v>1</v>
      </c>
      <c r="M839" t="s">
        <v>90</v>
      </c>
      <c r="N839" t="s">
        <v>91</v>
      </c>
      <c r="O839" t="s">
        <v>92</v>
      </c>
      <c r="S839" t="s">
        <v>93</v>
      </c>
      <c r="T839" t="s">
        <v>109</v>
      </c>
      <c r="U839" t="s">
        <v>95</v>
      </c>
    </row>
    <row r="840" spans="1:21" x14ac:dyDescent="0.3">
      <c r="A840" t="s">
        <v>1956</v>
      </c>
      <c r="B840" s="6" t="str">
        <f>HYPERLINK("http://data.ntsb.gov/carol-repgen/api/Aviation/ReportMain/GenerateNewestReport/100138/pdf","AccidentReport")</f>
        <v>AccidentReport</v>
      </c>
      <c r="C840" t="s">
        <v>1954</v>
      </c>
      <c r="D840" t="s">
        <v>1957</v>
      </c>
      <c r="E840" t="s">
        <v>192</v>
      </c>
      <c r="F840" t="s">
        <v>88</v>
      </c>
      <c r="G840">
        <v>40.718887000000002</v>
      </c>
      <c r="H840">
        <v>-114.03055500000001</v>
      </c>
      <c r="K840" t="s">
        <v>89</v>
      </c>
      <c r="L840">
        <v>1</v>
      </c>
      <c r="M840" t="s">
        <v>90</v>
      </c>
      <c r="N840" t="s">
        <v>91</v>
      </c>
      <c r="O840" t="s">
        <v>92</v>
      </c>
      <c r="S840" t="s">
        <v>108</v>
      </c>
      <c r="T840" t="s">
        <v>109</v>
      </c>
      <c r="U840" t="s">
        <v>95</v>
      </c>
    </row>
    <row r="841" spans="1:21" x14ac:dyDescent="0.3">
      <c r="A841" t="s">
        <v>1958</v>
      </c>
      <c r="B841" s="6" t="str">
        <f>HYPERLINK("http://data.ntsb.gov/carol-repgen/api/Aviation/ReportMain/GenerateNewestReport/100190/pdf","AccidentReport")</f>
        <v>AccidentReport</v>
      </c>
      <c r="C841" t="s">
        <v>1959</v>
      </c>
      <c r="D841" t="s">
        <v>1960</v>
      </c>
      <c r="E841" t="s">
        <v>165</v>
      </c>
      <c r="F841" t="s">
        <v>88</v>
      </c>
      <c r="G841">
        <v>35.534168000000001</v>
      </c>
      <c r="H841">
        <v>-97.646941999999996</v>
      </c>
      <c r="K841" t="s">
        <v>89</v>
      </c>
      <c r="L841">
        <v>1</v>
      </c>
      <c r="M841" t="s">
        <v>90</v>
      </c>
      <c r="N841" t="s">
        <v>91</v>
      </c>
      <c r="O841" t="s">
        <v>92</v>
      </c>
      <c r="S841" t="s">
        <v>108</v>
      </c>
      <c r="T841" t="s">
        <v>139</v>
      </c>
      <c r="U841" t="s">
        <v>248</v>
      </c>
    </row>
    <row r="842" spans="1:21" x14ac:dyDescent="0.3">
      <c r="A842" t="s">
        <v>1961</v>
      </c>
      <c r="B842" s="6" t="str">
        <f>HYPERLINK("http://data.ntsb.gov/carol-repgen/api/Aviation/ReportMain/GenerateNewestReport/100166/pdf","AccidentReport")</f>
        <v>AccidentReport</v>
      </c>
      <c r="C842" t="s">
        <v>1959</v>
      </c>
      <c r="D842" t="s">
        <v>1962</v>
      </c>
      <c r="E842" t="s">
        <v>349</v>
      </c>
      <c r="F842" t="s">
        <v>88</v>
      </c>
      <c r="G842">
        <v>40.405276999999998</v>
      </c>
      <c r="H842">
        <v>-86.242773999999997</v>
      </c>
      <c r="K842" t="s">
        <v>89</v>
      </c>
      <c r="L842">
        <v>1</v>
      </c>
      <c r="M842" t="s">
        <v>90</v>
      </c>
      <c r="N842" t="s">
        <v>91</v>
      </c>
      <c r="O842" t="s">
        <v>92</v>
      </c>
      <c r="S842" t="s">
        <v>108</v>
      </c>
      <c r="T842" t="s">
        <v>159</v>
      </c>
      <c r="U842" t="s">
        <v>186</v>
      </c>
    </row>
    <row r="843" spans="1:21" x14ac:dyDescent="0.3">
      <c r="A843" t="s">
        <v>1963</v>
      </c>
      <c r="B843" s="6" t="str">
        <f>HYPERLINK("http://data.ntsb.gov/carol-repgen/api/Aviation/ReportMain/GenerateNewestReport/100311/pdf","AccidentReport")</f>
        <v>AccidentReport</v>
      </c>
      <c r="C843" t="s">
        <v>1959</v>
      </c>
      <c r="D843" t="s">
        <v>1964</v>
      </c>
      <c r="E843" t="s">
        <v>131</v>
      </c>
      <c r="F843" t="s">
        <v>88</v>
      </c>
      <c r="G843">
        <v>39.506667999999998</v>
      </c>
      <c r="H843">
        <v>-107.309448</v>
      </c>
      <c r="K843" t="s">
        <v>89</v>
      </c>
      <c r="L843">
        <v>1</v>
      </c>
      <c r="M843" t="s">
        <v>90</v>
      </c>
      <c r="N843" t="s">
        <v>91</v>
      </c>
      <c r="O843" t="s">
        <v>92</v>
      </c>
      <c r="S843" t="s">
        <v>108</v>
      </c>
      <c r="T843" t="s">
        <v>109</v>
      </c>
      <c r="U843" t="s">
        <v>95</v>
      </c>
    </row>
    <row r="844" spans="1:21" x14ac:dyDescent="0.3">
      <c r="A844" t="s">
        <v>1965</v>
      </c>
      <c r="B844" s="6" t="str">
        <f>HYPERLINK("http://data.ntsb.gov/carol-repgen/api/Aviation/ReportMain/GenerateNewestReport/100141/pdf","AccidentReport")</f>
        <v>AccidentReport</v>
      </c>
      <c r="C844" t="s">
        <v>1959</v>
      </c>
      <c r="D844" t="s">
        <v>1966</v>
      </c>
      <c r="E844" t="s">
        <v>125</v>
      </c>
      <c r="F844" t="s">
        <v>88</v>
      </c>
      <c r="G844">
        <v>34.729998999999999</v>
      </c>
      <c r="H844">
        <v>-112.03527800000001</v>
      </c>
      <c r="K844" t="s">
        <v>89</v>
      </c>
      <c r="L844">
        <v>1</v>
      </c>
      <c r="M844" t="s">
        <v>90</v>
      </c>
      <c r="N844" t="s">
        <v>91</v>
      </c>
      <c r="O844" t="s">
        <v>92</v>
      </c>
      <c r="S844" t="s">
        <v>93</v>
      </c>
      <c r="T844" t="s">
        <v>102</v>
      </c>
      <c r="U844" t="s">
        <v>248</v>
      </c>
    </row>
    <row r="845" spans="1:21" x14ac:dyDescent="0.3">
      <c r="A845" t="s">
        <v>1967</v>
      </c>
      <c r="B845" s="6" t="str">
        <f>HYPERLINK("http://data.ntsb.gov/carol-repgen/api/Aviation/ReportMain/GenerateNewestReport/100158/pdf","AccidentReport")</f>
        <v>AccidentReport</v>
      </c>
      <c r="C845" t="s">
        <v>1959</v>
      </c>
      <c r="D845" t="s">
        <v>1968</v>
      </c>
      <c r="E845" t="s">
        <v>117</v>
      </c>
      <c r="F845" t="s">
        <v>88</v>
      </c>
      <c r="G845">
        <v>40.836944000000003</v>
      </c>
      <c r="H845">
        <v>-76.552497000000002</v>
      </c>
      <c r="K845" t="s">
        <v>89</v>
      </c>
      <c r="L845">
        <v>1</v>
      </c>
      <c r="M845" t="s">
        <v>90</v>
      </c>
      <c r="N845" t="s">
        <v>100</v>
      </c>
      <c r="O845" t="s">
        <v>92</v>
      </c>
      <c r="S845" t="s">
        <v>108</v>
      </c>
      <c r="T845" t="s">
        <v>109</v>
      </c>
      <c r="U845" t="s">
        <v>852</v>
      </c>
    </row>
    <row r="846" spans="1:21" x14ac:dyDescent="0.3">
      <c r="A846" t="s">
        <v>1969</v>
      </c>
      <c r="B846" s="6" t="str">
        <f>HYPERLINK("http://data.ntsb.gov/carol-repgen/api/Aviation/ReportMain/GenerateNewestReport/100142/pdf","AccidentReport")</f>
        <v>AccidentReport</v>
      </c>
      <c r="C846" t="s">
        <v>1959</v>
      </c>
      <c r="D846" t="s">
        <v>1970</v>
      </c>
      <c r="E846" t="s">
        <v>176</v>
      </c>
      <c r="F846" t="s">
        <v>88</v>
      </c>
      <c r="G846">
        <v>47.129165</v>
      </c>
      <c r="H846">
        <v>-122.05583</v>
      </c>
      <c r="I846">
        <v>1</v>
      </c>
      <c r="K846" t="s">
        <v>107</v>
      </c>
      <c r="L846">
        <v>1</v>
      </c>
      <c r="M846" t="s">
        <v>90</v>
      </c>
      <c r="N846" t="s">
        <v>893</v>
      </c>
      <c r="O846" t="s">
        <v>92</v>
      </c>
      <c r="S846" t="s">
        <v>108</v>
      </c>
      <c r="T846" t="s">
        <v>749</v>
      </c>
      <c r="U846" t="s">
        <v>95</v>
      </c>
    </row>
    <row r="847" spans="1:21" x14ac:dyDescent="0.3">
      <c r="A847" t="s">
        <v>1971</v>
      </c>
      <c r="B847" s="6" t="str">
        <f>HYPERLINK("http://data.ntsb.gov/carol-repgen/api/Aviation/ReportMain/GenerateNewestReport/100139/pdf","AccidentReport")</f>
        <v>AccidentReport</v>
      </c>
      <c r="C847" t="s">
        <v>1959</v>
      </c>
      <c r="D847" t="s">
        <v>695</v>
      </c>
      <c r="E847" t="s">
        <v>106</v>
      </c>
      <c r="F847" t="s">
        <v>88</v>
      </c>
      <c r="G847">
        <v>34.741110999999997</v>
      </c>
      <c r="H847">
        <v>-118.21861199999999</v>
      </c>
      <c r="K847" t="s">
        <v>89</v>
      </c>
      <c r="L847">
        <v>1</v>
      </c>
      <c r="M847" t="s">
        <v>90</v>
      </c>
      <c r="N847" t="s">
        <v>91</v>
      </c>
      <c r="O847" t="s">
        <v>92</v>
      </c>
      <c r="S847" t="s">
        <v>108</v>
      </c>
      <c r="T847" t="s">
        <v>159</v>
      </c>
      <c r="U847" t="s">
        <v>186</v>
      </c>
    </row>
    <row r="848" spans="1:21" x14ac:dyDescent="0.3">
      <c r="A848" t="s">
        <v>1972</v>
      </c>
      <c r="B848" s="6" t="str">
        <f>HYPERLINK("http://data.ntsb.gov/carol-repgen/api/Aviation/ReportMain/GenerateNewestReport/100144/pdf","AccidentReport")</f>
        <v>AccidentReport</v>
      </c>
      <c r="C848" t="s">
        <v>1959</v>
      </c>
      <c r="D848" t="s">
        <v>1973</v>
      </c>
      <c r="E848" t="s">
        <v>106</v>
      </c>
      <c r="F848" t="s">
        <v>88</v>
      </c>
      <c r="G848">
        <v>34.423332000000002</v>
      </c>
      <c r="H848">
        <v>-119.836669</v>
      </c>
      <c r="K848" t="s">
        <v>89</v>
      </c>
      <c r="L848">
        <v>1</v>
      </c>
      <c r="M848" t="s">
        <v>90</v>
      </c>
      <c r="N848" t="s">
        <v>91</v>
      </c>
      <c r="O848" t="s">
        <v>92</v>
      </c>
      <c r="S848" t="s">
        <v>433</v>
      </c>
      <c r="T848" t="s">
        <v>139</v>
      </c>
      <c r="U848" t="s">
        <v>150</v>
      </c>
    </row>
    <row r="849" spans="1:21" x14ac:dyDescent="0.3">
      <c r="A849" t="s">
        <v>1974</v>
      </c>
      <c r="B849" s="6" t="str">
        <f>HYPERLINK("http://data.ntsb.gov/carol-repgen/api/Aviation/ReportMain/GenerateNewestReport/100145/pdf","AccidentReport")</f>
        <v>AccidentReport</v>
      </c>
      <c r="C849" t="s">
        <v>1975</v>
      </c>
      <c r="D849" t="s">
        <v>289</v>
      </c>
      <c r="E849" t="s">
        <v>290</v>
      </c>
      <c r="F849" t="s">
        <v>88</v>
      </c>
      <c r="G849">
        <v>39.656944000000003</v>
      </c>
      <c r="H849">
        <v>-119.85749800000001</v>
      </c>
      <c r="J849">
        <v>2</v>
      </c>
      <c r="K849" t="s">
        <v>99</v>
      </c>
      <c r="L849">
        <v>1</v>
      </c>
      <c r="M849" t="s">
        <v>90</v>
      </c>
      <c r="N849" t="s">
        <v>91</v>
      </c>
      <c r="O849" t="s">
        <v>92</v>
      </c>
      <c r="S849" t="s">
        <v>108</v>
      </c>
      <c r="T849" t="s">
        <v>159</v>
      </c>
      <c r="U849" t="s">
        <v>119</v>
      </c>
    </row>
    <row r="850" spans="1:21" x14ac:dyDescent="0.3">
      <c r="A850" t="s">
        <v>1976</v>
      </c>
      <c r="B850" s="6" t="str">
        <f>HYPERLINK("http://data.ntsb.gov/carol-repgen/api/Aviation/ReportMain/GenerateNewestReport/100154/pdf","AccidentReport")</f>
        <v>AccidentReport</v>
      </c>
      <c r="C850" t="s">
        <v>1977</v>
      </c>
      <c r="D850" t="s">
        <v>1978</v>
      </c>
      <c r="E850" t="s">
        <v>203</v>
      </c>
      <c r="F850" t="s">
        <v>88</v>
      </c>
      <c r="G850">
        <v>42.663055</v>
      </c>
      <c r="H850">
        <v>-89.529724000000002</v>
      </c>
      <c r="J850">
        <v>1</v>
      </c>
      <c r="K850" t="s">
        <v>99</v>
      </c>
      <c r="L850">
        <v>1</v>
      </c>
      <c r="M850" t="s">
        <v>90</v>
      </c>
      <c r="N850" t="s">
        <v>91</v>
      </c>
      <c r="O850" t="s">
        <v>92</v>
      </c>
      <c r="S850" t="s">
        <v>108</v>
      </c>
      <c r="T850" t="s">
        <v>159</v>
      </c>
      <c r="U850" t="s">
        <v>186</v>
      </c>
    </row>
    <row r="851" spans="1:21" x14ac:dyDescent="0.3">
      <c r="A851" t="s">
        <v>1979</v>
      </c>
      <c r="B851" s="6" t="str">
        <f>HYPERLINK("http://data.ntsb.gov/carol-repgen/api/Aviation/ReportMain/GenerateNewestReport/100159/pdf","AccidentReport")</f>
        <v>AccidentReport</v>
      </c>
      <c r="C851" t="s">
        <v>1977</v>
      </c>
      <c r="D851" t="s">
        <v>1769</v>
      </c>
      <c r="E851" t="s">
        <v>233</v>
      </c>
      <c r="F851" t="s">
        <v>88</v>
      </c>
      <c r="G851">
        <v>60.941665</v>
      </c>
      <c r="H851">
        <v>-151.961105</v>
      </c>
      <c r="K851" t="s">
        <v>89</v>
      </c>
      <c r="L851">
        <v>1</v>
      </c>
      <c r="M851" t="s">
        <v>90</v>
      </c>
      <c r="N851" t="s">
        <v>91</v>
      </c>
      <c r="O851" t="s">
        <v>92</v>
      </c>
      <c r="S851" t="s">
        <v>108</v>
      </c>
      <c r="T851" t="s">
        <v>109</v>
      </c>
      <c r="U851" t="s">
        <v>95</v>
      </c>
    </row>
    <row r="852" spans="1:21" x14ac:dyDescent="0.3">
      <c r="A852" t="s">
        <v>1980</v>
      </c>
      <c r="B852" s="6" t="str">
        <f>HYPERLINK("http://data.ntsb.gov/carol-repgen/api/Aviation/ReportMain/GenerateNewestReport/100169/pdf","AccidentReport")</f>
        <v>AccidentReport</v>
      </c>
      <c r="C852" t="s">
        <v>1977</v>
      </c>
      <c r="D852" t="s">
        <v>250</v>
      </c>
      <c r="E852" t="s">
        <v>251</v>
      </c>
      <c r="F852" t="s">
        <v>88</v>
      </c>
      <c r="G852">
        <v>42.509998000000003</v>
      </c>
      <c r="H852">
        <v>-123.388053</v>
      </c>
      <c r="K852" t="s">
        <v>89</v>
      </c>
      <c r="L852">
        <v>1</v>
      </c>
      <c r="M852" t="s">
        <v>90</v>
      </c>
      <c r="N852" t="s">
        <v>91</v>
      </c>
      <c r="O852" t="s">
        <v>92</v>
      </c>
      <c r="S852" t="s">
        <v>108</v>
      </c>
      <c r="T852" t="s">
        <v>109</v>
      </c>
      <c r="U852" t="s">
        <v>95</v>
      </c>
    </row>
    <row r="853" spans="1:21" x14ac:dyDescent="0.3">
      <c r="A853" t="s">
        <v>1981</v>
      </c>
      <c r="B853" s="6" t="str">
        <f>HYPERLINK("http://data.ntsb.gov/carol-repgen/api/Aviation/ReportMain/GenerateNewestReport/100170/pdf","AccidentReport")</f>
        <v>AccidentReport</v>
      </c>
      <c r="C853" t="s">
        <v>1977</v>
      </c>
      <c r="D853" t="s">
        <v>553</v>
      </c>
      <c r="E853" t="s">
        <v>106</v>
      </c>
      <c r="F853" t="s">
        <v>88</v>
      </c>
      <c r="G853">
        <v>32.82611</v>
      </c>
      <c r="H853">
        <v>-116.972503</v>
      </c>
      <c r="K853" t="s">
        <v>89</v>
      </c>
      <c r="L853">
        <v>1</v>
      </c>
      <c r="M853" t="s">
        <v>90</v>
      </c>
      <c r="N853" t="s">
        <v>100</v>
      </c>
      <c r="O853" t="s">
        <v>92</v>
      </c>
      <c r="S853" t="s">
        <v>173</v>
      </c>
      <c r="T853" t="s">
        <v>94</v>
      </c>
      <c r="U853" t="s">
        <v>95</v>
      </c>
    </row>
    <row r="854" spans="1:21" x14ac:dyDescent="0.3">
      <c r="A854" t="s">
        <v>1982</v>
      </c>
      <c r="B854" s="6" t="str">
        <f>HYPERLINK("http://data.ntsb.gov/carol-repgen/api/Aviation/ReportMain/GenerateNewestReport/100155/pdf","AccidentReport")</f>
        <v>AccidentReport</v>
      </c>
      <c r="C854" t="s">
        <v>1977</v>
      </c>
      <c r="D854" t="s">
        <v>1983</v>
      </c>
      <c r="E854" t="s">
        <v>251</v>
      </c>
      <c r="F854" t="s">
        <v>88</v>
      </c>
      <c r="G854">
        <v>44.182498000000002</v>
      </c>
      <c r="H854">
        <v>-122.07832999999999</v>
      </c>
      <c r="I854">
        <v>2</v>
      </c>
      <c r="K854" t="s">
        <v>107</v>
      </c>
      <c r="L854">
        <v>1</v>
      </c>
      <c r="M854" t="s">
        <v>147</v>
      </c>
      <c r="N854" t="s">
        <v>91</v>
      </c>
      <c r="O854" t="s">
        <v>92</v>
      </c>
      <c r="S854" t="s">
        <v>108</v>
      </c>
      <c r="T854" t="s">
        <v>411</v>
      </c>
      <c r="U854" t="s">
        <v>248</v>
      </c>
    </row>
    <row r="855" spans="1:21" x14ac:dyDescent="0.3">
      <c r="A855" t="s">
        <v>1984</v>
      </c>
      <c r="B855" s="6" t="str">
        <f>HYPERLINK("http://data.ntsb.gov/carol-repgen/api/Aviation/ReportMain/GenerateNewestReport/100164/pdf","AccidentReport")</f>
        <v>AccidentReport</v>
      </c>
      <c r="C855" t="s">
        <v>1977</v>
      </c>
      <c r="D855" t="s">
        <v>1985</v>
      </c>
      <c r="E855" t="s">
        <v>290</v>
      </c>
      <c r="F855" t="s">
        <v>88</v>
      </c>
      <c r="G855">
        <v>36.210262</v>
      </c>
      <c r="H855">
        <v>-115.11972799999999</v>
      </c>
      <c r="K855" t="s">
        <v>89</v>
      </c>
      <c r="L855">
        <v>1</v>
      </c>
      <c r="M855" t="s">
        <v>90</v>
      </c>
      <c r="N855" t="s">
        <v>100</v>
      </c>
      <c r="O855" t="s">
        <v>92</v>
      </c>
      <c r="S855" t="s">
        <v>108</v>
      </c>
      <c r="T855" t="s">
        <v>102</v>
      </c>
      <c r="U855" t="s">
        <v>103</v>
      </c>
    </row>
    <row r="856" spans="1:21" x14ac:dyDescent="0.3">
      <c r="A856" t="s">
        <v>1986</v>
      </c>
      <c r="B856" s="6" t="str">
        <f>HYPERLINK("http://data.ntsb.gov/carol-repgen/api/Aviation/ReportMain/GenerateNewestReport/100165/pdf","AccidentReport")</f>
        <v>AccidentReport</v>
      </c>
      <c r="C856" t="s">
        <v>1987</v>
      </c>
      <c r="D856" t="s">
        <v>756</v>
      </c>
      <c r="E856" t="s">
        <v>131</v>
      </c>
      <c r="F856" t="s">
        <v>88</v>
      </c>
      <c r="G856">
        <v>39.749713</v>
      </c>
      <c r="H856">
        <v>-104.999595</v>
      </c>
      <c r="K856" t="s">
        <v>155</v>
      </c>
      <c r="L856">
        <v>1</v>
      </c>
      <c r="M856" t="s">
        <v>90</v>
      </c>
      <c r="N856" t="s">
        <v>91</v>
      </c>
      <c r="O856" t="s">
        <v>92</v>
      </c>
      <c r="S856" t="s">
        <v>93</v>
      </c>
      <c r="T856" t="s">
        <v>247</v>
      </c>
      <c r="U856" t="s">
        <v>95</v>
      </c>
    </row>
    <row r="857" spans="1:21" x14ac:dyDescent="0.3">
      <c r="A857" t="s">
        <v>1988</v>
      </c>
      <c r="B857" s="6" t="str">
        <f>HYPERLINK("http://data.ntsb.gov/carol-repgen/api/Aviation/ReportMain/GenerateNewestReport/100172/pdf","AccidentReport")</f>
        <v>AccidentReport</v>
      </c>
      <c r="C857" t="s">
        <v>1989</v>
      </c>
      <c r="D857" t="s">
        <v>565</v>
      </c>
      <c r="E857" t="s">
        <v>233</v>
      </c>
      <c r="F857" t="s">
        <v>88</v>
      </c>
      <c r="G857">
        <v>62.321387999999999</v>
      </c>
      <c r="H857">
        <v>-150.09277299999999</v>
      </c>
      <c r="K857" t="s">
        <v>89</v>
      </c>
      <c r="L857">
        <v>1</v>
      </c>
      <c r="M857" t="s">
        <v>90</v>
      </c>
      <c r="N857" t="s">
        <v>91</v>
      </c>
      <c r="O857" t="s">
        <v>92</v>
      </c>
      <c r="S857" t="s">
        <v>93</v>
      </c>
      <c r="T857" t="s">
        <v>109</v>
      </c>
      <c r="U857" t="s">
        <v>95</v>
      </c>
    </row>
    <row r="858" spans="1:21" x14ac:dyDescent="0.3">
      <c r="A858" t="s">
        <v>1990</v>
      </c>
      <c r="B858" s="6" t="str">
        <f>HYPERLINK("http://data.ntsb.gov/carol-repgen/api/Aviation/ReportMain/GenerateNewestReport/100168/pdf","AccidentReport")</f>
        <v>AccidentReport</v>
      </c>
      <c r="C858" t="s">
        <v>1989</v>
      </c>
      <c r="D858" t="s">
        <v>1991</v>
      </c>
      <c r="E858" t="s">
        <v>154</v>
      </c>
      <c r="F858" t="s">
        <v>88</v>
      </c>
      <c r="G858">
        <v>33.350833000000002</v>
      </c>
      <c r="H858">
        <v>-98.819168000000005</v>
      </c>
      <c r="K858" t="s">
        <v>155</v>
      </c>
      <c r="L858">
        <v>1</v>
      </c>
      <c r="M858" t="s">
        <v>90</v>
      </c>
      <c r="N858" t="s">
        <v>91</v>
      </c>
      <c r="O858" t="s">
        <v>92</v>
      </c>
      <c r="S858" t="s">
        <v>173</v>
      </c>
      <c r="T858" t="s">
        <v>159</v>
      </c>
      <c r="U858" t="s">
        <v>150</v>
      </c>
    </row>
    <row r="859" spans="1:21" x14ac:dyDescent="0.3">
      <c r="A859" t="s">
        <v>1992</v>
      </c>
      <c r="B859" s="6" t="str">
        <f>HYPERLINK("http://data.ntsb.gov/carol-repgen/api/Aviation/ReportMain/GenerateNewestReport/100173/pdf","AccidentReport")</f>
        <v>AccidentReport</v>
      </c>
      <c r="C859" t="s">
        <v>1989</v>
      </c>
      <c r="D859" t="s">
        <v>1993</v>
      </c>
      <c r="E859" t="s">
        <v>112</v>
      </c>
      <c r="F859" t="s">
        <v>88</v>
      </c>
      <c r="G859">
        <v>47.275832999999999</v>
      </c>
      <c r="H859">
        <v>-114.12416</v>
      </c>
      <c r="I859">
        <v>3</v>
      </c>
      <c r="K859" t="s">
        <v>107</v>
      </c>
      <c r="L859">
        <v>1</v>
      </c>
      <c r="M859" t="s">
        <v>90</v>
      </c>
      <c r="N859" t="s">
        <v>91</v>
      </c>
      <c r="O859" t="s">
        <v>92</v>
      </c>
      <c r="S859" t="s">
        <v>108</v>
      </c>
      <c r="T859" t="s">
        <v>113</v>
      </c>
      <c r="U859" t="s">
        <v>103</v>
      </c>
    </row>
    <row r="860" spans="1:21" x14ac:dyDescent="0.3">
      <c r="A860" t="s">
        <v>1994</v>
      </c>
      <c r="B860" s="6" t="str">
        <f>HYPERLINK("http://data.ntsb.gov/carol-repgen/api/Aviation/ReportMain/GenerateNewestReport/101378/pdf","AccidentReport")</f>
        <v>AccidentReport</v>
      </c>
      <c r="C860" t="s">
        <v>1995</v>
      </c>
      <c r="D860" t="s">
        <v>1996</v>
      </c>
      <c r="E860" t="s">
        <v>233</v>
      </c>
      <c r="F860" t="s">
        <v>88</v>
      </c>
      <c r="G860">
        <v>68.090155999999993</v>
      </c>
      <c r="H860">
        <v>-145.59938</v>
      </c>
      <c r="K860" t="s">
        <v>155</v>
      </c>
      <c r="L860">
        <v>1</v>
      </c>
      <c r="M860" t="s">
        <v>90</v>
      </c>
      <c r="N860" t="s">
        <v>91</v>
      </c>
      <c r="O860" t="s">
        <v>92</v>
      </c>
      <c r="S860" t="s">
        <v>108</v>
      </c>
      <c r="T860" t="s">
        <v>102</v>
      </c>
      <c r="U860" t="s">
        <v>103</v>
      </c>
    </row>
    <row r="861" spans="1:21" x14ac:dyDescent="0.3">
      <c r="A861" t="s">
        <v>1997</v>
      </c>
      <c r="B861" s="6" t="str">
        <f>HYPERLINK("http://data.ntsb.gov/carol-repgen/api/Aviation/ReportMain/GenerateNewestReport/100182/pdf","AccidentReport")</f>
        <v>AccidentReport</v>
      </c>
      <c r="C861" t="s">
        <v>1995</v>
      </c>
      <c r="D861" t="s">
        <v>1128</v>
      </c>
      <c r="E861" t="s">
        <v>233</v>
      </c>
      <c r="F861" t="s">
        <v>88</v>
      </c>
      <c r="G861">
        <v>64.892500999999996</v>
      </c>
      <c r="H861">
        <v>-148.36889600000001</v>
      </c>
      <c r="K861" t="s">
        <v>89</v>
      </c>
      <c r="L861">
        <v>1</v>
      </c>
      <c r="M861" t="s">
        <v>90</v>
      </c>
      <c r="N861" t="s">
        <v>91</v>
      </c>
      <c r="O861" t="s">
        <v>92</v>
      </c>
      <c r="S861" t="s">
        <v>108</v>
      </c>
      <c r="T861" t="s">
        <v>159</v>
      </c>
      <c r="U861" t="s">
        <v>186</v>
      </c>
    </row>
    <row r="862" spans="1:21" x14ac:dyDescent="0.3">
      <c r="A862" t="s">
        <v>1998</v>
      </c>
      <c r="B862" s="6" t="str">
        <f>HYPERLINK("http://data.ntsb.gov/carol-repgen/api/Aviation/ReportMain/GenerateNewestReport/100237/pdf","AccidentReport")</f>
        <v>AccidentReport</v>
      </c>
      <c r="C862" t="s">
        <v>1995</v>
      </c>
      <c r="D862" t="s">
        <v>1999</v>
      </c>
      <c r="E862" t="s">
        <v>106</v>
      </c>
      <c r="F862" t="s">
        <v>88</v>
      </c>
      <c r="G862">
        <v>33.574165000000001</v>
      </c>
      <c r="H862">
        <v>-117.128608</v>
      </c>
      <c r="K862" t="s">
        <v>89</v>
      </c>
      <c r="L862">
        <v>1</v>
      </c>
      <c r="M862" t="s">
        <v>90</v>
      </c>
      <c r="N862" t="s">
        <v>91</v>
      </c>
      <c r="O862" t="s">
        <v>92</v>
      </c>
      <c r="S862" t="s">
        <v>93</v>
      </c>
      <c r="T862" t="s">
        <v>109</v>
      </c>
      <c r="U862" t="s">
        <v>95</v>
      </c>
    </row>
    <row r="863" spans="1:21" x14ac:dyDescent="0.3">
      <c r="A863" t="s">
        <v>2000</v>
      </c>
      <c r="B863" s="6" t="str">
        <f>HYPERLINK("http://data.ntsb.gov/carol-repgen/api/Aviation/ReportMain/GenerateNewestReport/100331/pdf","AccidentReport")</f>
        <v>AccidentReport</v>
      </c>
      <c r="C863" t="s">
        <v>1995</v>
      </c>
      <c r="D863" t="s">
        <v>124</v>
      </c>
      <c r="E863" t="s">
        <v>125</v>
      </c>
      <c r="F863" t="s">
        <v>88</v>
      </c>
      <c r="G863">
        <v>34.654724000000002</v>
      </c>
      <c r="H863">
        <v>-112.419166</v>
      </c>
      <c r="K863" t="s">
        <v>89</v>
      </c>
      <c r="L863">
        <v>1</v>
      </c>
      <c r="M863" t="s">
        <v>90</v>
      </c>
      <c r="N863" t="s">
        <v>91</v>
      </c>
      <c r="O863" t="s">
        <v>92</v>
      </c>
      <c r="S863" t="s">
        <v>108</v>
      </c>
      <c r="T863" t="s">
        <v>94</v>
      </c>
      <c r="U863" t="s">
        <v>95</v>
      </c>
    </row>
    <row r="864" spans="1:21" x14ac:dyDescent="0.3">
      <c r="A864" t="s">
        <v>2001</v>
      </c>
      <c r="B864" s="6" t="str">
        <f>HYPERLINK("http://data.ntsb.gov/carol-repgen/api/Aviation/ReportMain/GenerateNewestReport/100188/pdf","AccidentReport")</f>
        <v>AccidentReport</v>
      </c>
      <c r="C864" t="s">
        <v>1995</v>
      </c>
      <c r="D864" t="s">
        <v>2002</v>
      </c>
      <c r="E864" t="s">
        <v>122</v>
      </c>
      <c r="F864" t="s">
        <v>88</v>
      </c>
      <c r="G864">
        <v>43.575552999999999</v>
      </c>
      <c r="H864">
        <v>-116.52055300000001</v>
      </c>
      <c r="K864" t="s">
        <v>155</v>
      </c>
      <c r="L864">
        <v>1</v>
      </c>
      <c r="M864" t="s">
        <v>90</v>
      </c>
      <c r="N864" t="s">
        <v>91</v>
      </c>
      <c r="O864" t="s">
        <v>92</v>
      </c>
      <c r="S864" t="s">
        <v>108</v>
      </c>
      <c r="T864" t="s">
        <v>109</v>
      </c>
      <c r="U864" t="s">
        <v>95</v>
      </c>
    </row>
    <row r="865" spans="1:21" x14ac:dyDescent="0.3">
      <c r="A865" t="s">
        <v>2003</v>
      </c>
      <c r="B865" s="6" t="str">
        <f>HYPERLINK("http://data.ntsb.gov/carol-repgen/api/Aviation/ReportMain/GenerateNewestReport/100185/pdf","AccidentReport")</f>
        <v>AccidentReport</v>
      </c>
      <c r="C865" t="s">
        <v>2004</v>
      </c>
      <c r="D865" t="s">
        <v>2005</v>
      </c>
      <c r="E865" t="s">
        <v>154</v>
      </c>
      <c r="F865" t="s">
        <v>88</v>
      </c>
      <c r="G865">
        <v>30.403887999999998</v>
      </c>
      <c r="H865">
        <v>-95.437224999999998</v>
      </c>
      <c r="K865" t="s">
        <v>155</v>
      </c>
      <c r="L865">
        <v>1</v>
      </c>
      <c r="M865" t="s">
        <v>90</v>
      </c>
      <c r="N865" t="s">
        <v>91</v>
      </c>
      <c r="O865" t="s">
        <v>92</v>
      </c>
      <c r="S865" t="s">
        <v>108</v>
      </c>
      <c r="T865" t="s">
        <v>159</v>
      </c>
      <c r="U865" t="s">
        <v>186</v>
      </c>
    </row>
    <row r="866" spans="1:21" x14ac:dyDescent="0.3">
      <c r="A866" t="s">
        <v>2006</v>
      </c>
      <c r="B866" s="6" t="str">
        <f>HYPERLINK("http://data.ntsb.gov/carol-repgen/api/Aviation/ReportMain/GenerateNewestReport/100202/pdf","AccidentReport")</f>
        <v>AccidentReport</v>
      </c>
      <c r="C866" t="s">
        <v>2004</v>
      </c>
      <c r="D866" t="s">
        <v>2007</v>
      </c>
      <c r="E866" t="s">
        <v>146</v>
      </c>
      <c r="F866" t="s">
        <v>88</v>
      </c>
      <c r="G866">
        <v>35.583331999999999</v>
      </c>
      <c r="H866">
        <v>-89.587219000000005</v>
      </c>
      <c r="K866" t="s">
        <v>89</v>
      </c>
      <c r="L866">
        <v>1</v>
      </c>
      <c r="M866" t="s">
        <v>90</v>
      </c>
      <c r="N866" t="s">
        <v>91</v>
      </c>
      <c r="O866" t="s">
        <v>92</v>
      </c>
      <c r="S866" t="s">
        <v>93</v>
      </c>
      <c r="T866" t="s">
        <v>102</v>
      </c>
      <c r="U866" t="s">
        <v>95</v>
      </c>
    </row>
    <row r="867" spans="1:21" x14ac:dyDescent="0.3">
      <c r="A867" t="s">
        <v>2008</v>
      </c>
      <c r="B867" s="6" t="str">
        <f>HYPERLINK("http://data.ntsb.gov/carol-repgen/api/Aviation/ReportMain/GenerateNewestReport/100176/pdf","AccidentReport")</f>
        <v>AccidentReport</v>
      </c>
      <c r="C867" t="s">
        <v>2004</v>
      </c>
      <c r="D867" t="s">
        <v>2009</v>
      </c>
      <c r="E867" t="s">
        <v>106</v>
      </c>
      <c r="F867" t="s">
        <v>88</v>
      </c>
      <c r="G867">
        <v>34.092497999999999</v>
      </c>
      <c r="H867">
        <v>-118.03111199999999</v>
      </c>
      <c r="K867" t="s">
        <v>155</v>
      </c>
      <c r="L867">
        <v>1</v>
      </c>
      <c r="M867" t="s">
        <v>90</v>
      </c>
      <c r="N867" t="s">
        <v>91</v>
      </c>
      <c r="O867" t="s">
        <v>92</v>
      </c>
      <c r="S867" t="s">
        <v>108</v>
      </c>
      <c r="T867" t="s">
        <v>247</v>
      </c>
      <c r="U867" t="s">
        <v>248</v>
      </c>
    </row>
    <row r="868" spans="1:21" x14ac:dyDescent="0.3">
      <c r="A868" t="s">
        <v>2010</v>
      </c>
      <c r="B868" s="6" t="str">
        <f>HYPERLINK("http://data.ntsb.gov/carol-repgen/api/Aviation/ReportMain/GenerateNewestReport/100191/pdf","AccidentReport")</f>
        <v>AccidentReport</v>
      </c>
      <c r="C868" t="s">
        <v>2004</v>
      </c>
      <c r="D868" t="s">
        <v>2011</v>
      </c>
      <c r="E868" t="s">
        <v>176</v>
      </c>
      <c r="F868" t="s">
        <v>88</v>
      </c>
      <c r="G868">
        <v>46.251666999999998</v>
      </c>
      <c r="H868">
        <v>-116.96861199999999</v>
      </c>
      <c r="K868" t="s">
        <v>89</v>
      </c>
      <c r="L868">
        <v>1</v>
      </c>
      <c r="M868" t="s">
        <v>90</v>
      </c>
      <c r="N868" t="s">
        <v>100</v>
      </c>
      <c r="O868" t="s">
        <v>92</v>
      </c>
      <c r="S868" t="s">
        <v>108</v>
      </c>
      <c r="T868" t="s">
        <v>102</v>
      </c>
      <c r="U868" t="s">
        <v>248</v>
      </c>
    </row>
    <row r="869" spans="1:21" x14ac:dyDescent="0.3">
      <c r="A869" t="s">
        <v>2012</v>
      </c>
      <c r="B869" s="6" t="str">
        <f>HYPERLINK("http://data.ntsb.gov/carol-repgen/api/Aviation/ReportMain/GenerateNewestReport/100180/pdf","AccidentReport")</f>
        <v>AccidentReport</v>
      </c>
      <c r="C869" t="s">
        <v>2013</v>
      </c>
      <c r="D869" t="s">
        <v>931</v>
      </c>
      <c r="E869" t="s">
        <v>786</v>
      </c>
      <c r="F869" t="s">
        <v>88</v>
      </c>
      <c r="G869">
        <v>30.36861</v>
      </c>
      <c r="H869">
        <v>-87.687774000000005</v>
      </c>
      <c r="I869">
        <v>0</v>
      </c>
      <c r="J869">
        <v>0</v>
      </c>
      <c r="K869" t="s">
        <v>89</v>
      </c>
      <c r="L869">
        <v>1</v>
      </c>
      <c r="M869" t="s">
        <v>90</v>
      </c>
      <c r="N869" t="s">
        <v>91</v>
      </c>
      <c r="O869" t="s">
        <v>92</v>
      </c>
      <c r="S869" t="s">
        <v>108</v>
      </c>
      <c r="T869" t="s">
        <v>159</v>
      </c>
      <c r="U869" t="s">
        <v>186</v>
      </c>
    </row>
    <row r="870" spans="1:21" x14ac:dyDescent="0.3">
      <c r="A870" t="s">
        <v>2014</v>
      </c>
      <c r="B870" s="6" t="str">
        <f>HYPERLINK("http://data.ntsb.gov/carol-repgen/api/Aviation/ReportMain/GenerateNewestReport/100187/pdf","AccidentReport")</f>
        <v>AccidentReport</v>
      </c>
      <c r="C870" t="s">
        <v>2013</v>
      </c>
      <c r="D870" t="s">
        <v>1298</v>
      </c>
      <c r="E870" t="s">
        <v>233</v>
      </c>
      <c r="F870" t="s">
        <v>88</v>
      </c>
      <c r="G870">
        <v>61.229441999999999</v>
      </c>
      <c r="H870">
        <v>-151.76916499999999</v>
      </c>
      <c r="K870" t="s">
        <v>89</v>
      </c>
      <c r="L870">
        <v>1</v>
      </c>
      <c r="M870" t="s">
        <v>90</v>
      </c>
      <c r="N870" t="s">
        <v>91</v>
      </c>
      <c r="O870" t="s">
        <v>92</v>
      </c>
      <c r="S870" t="s">
        <v>108</v>
      </c>
      <c r="T870" t="s">
        <v>109</v>
      </c>
      <c r="U870" t="s">
        <v>248</v>
      </c>
    </row>
    <row r="871" spans="1:21" x14ac:dyDescent="0.3">
      <c r="A871" t="s">
        <v>2015</v>
      </c>
      <c r="B871" s="6" t="str">
        <f>HYPERLINK("http://data.ntsb.gov/carol-repgen/api/Aviation/ReportMain/GenerateNewestReport/100197/pdf","AccidentReport")</f>
        <v>AccidentReport</v>
      </c>
      <c r="C871" t="s">
        <v>2013</v>
      </c>
      <c r="D871" t="s">
        <v>2016</v>
      </c>
      <c r="E871" t="s">
        <v>176</v>
      </c>
      <c r="F871" t="s">
        <v>88</v>
      </c>
      <c r="G871">
        <v>47.395277999999998</v>
      </c>
      <c r="H871">
        <v>-121.53639200000001</v>
      </c>
      <c r="K871" t="s">
        <v>89</v>
      </c>
      <c r="L871">
        <v>1</v>
      </c>
      <c r="M871" t="s">
        <v>90</v>
      </c>
      <c r="N871" t="s">
        <v>91</v>
      </c>
      <c r="O871" t="s">
        <v>92</v>
      </c>
      <c r="S871" t="s">
        <v>108</v>
      </c>
      <c r="T871" t="s">
        <v>109</v>
      </c>
      <c r="U871" t="s">
        <v>248</v>
      </c>
    </row>
    <row r="872" spans="1:21" x14ac:dyDescent="0.3">
      <c r="A872" t="s">
        <v>2017</v>
      </c>
      <c r="B872" s="6" t="str">
        <f>HYPERLINK("http://data.ntsb.gov/carol-repgen/api/Aviation/ReportMain/GenerateNewestReport/100199/pdf","AccidentReport")</f>
        <v>AccidentReport</v>
      </c>
      <c r="C872" t="s">
        <v>2013</v>
      </c>
      <c r="D872" t="s">
        <v>2018</v>
      </c>
      <c r="E872" t="s">
        <v>541</v>
      </c>
      <c r="F872" t="s">
        <v>88</v>
      </c>
      <c r="G872">
        <v>42.932777000000002</v>
      </c>
      <c r="H872">
        <v>-71.435835999999995</v>
      </c>
      <c r="K872" t="s">
        <v>89</v>
      </c>
      <c r="L872">
        <v>1</v>
      </c>
      <c r="M872" t="s">
        <v>90</v>
      </c>
      <c r="N872" t="s">
        <v>91</v>
      </c>
      <c r="O872" t="s">
        <v>92</v>
      </c>
      <c r="S872" t="s">
        <v>108</v>
      </c>
      <c r="T872" t="s">
        <v>94</v>
      </c>
      <c r="U872" t="s">
        <v>95</v>
      </c>
    </row>
    <row r="873" spans="1:21" x14ac:dyDescent="0.3">
      <c r="A873" t="s">
        <v>2019</v>
      </c>
      <c r="B873" s="6" t="str">
        <f>HYPERLINK("http://data.ntsb.gov/carol-repgen/api/Aviation/ReportMain/GenerateNewestReport/100219/pdf","AccidentReport")</f>
        <v>AccidentReport</v>
      </c>
      <c r="C873" t="s">
        <v>2013</v>
      </c>
      <c r="D873" t="s">
        <v>2020</v>
      </c>
      <c r="E873" t="s">
        <v>233</v>
      </c>
      <c r="F873" t="s">
        <v>88</v>
      </c>
      <c r="G873">
        <v>61.673053000000003</v>
      </c>
      <c r="H873">
        <v>-148.54695100000001</v>
      </c>
      <c r="K873" t="s">
        <v>89</v>
      </c>
      <c r="L873">
        <v>1</v>
      </c>
      <c r="M873" t="s">
        <v>90</v>
      </c>
      <c r="N873" t="s">
        <v>91</v>
      </c>
      <c r="O873" t="s">
        <v>92</v>
      </c>
      <c r="S873" t="s">
        <v>108</v>
      </c>
      <c r="T873" t="s">
        <v>109</v>
      </c>
      <c r="U873" t="s">
        <v>95</v>
      </c>
    </row>
    <row r="874" spans="1:21" x14ac:dyDescent="0.3">
      <c r="A874" t="s">
        <v>2021</v>
      </c>
      <c r="B874" s="6" t="str">
        <f>HYPERLINK("http://data.ntsb.gov/carol-repgen/api/Aviation/ReportMain/GenerateNewestReport/100386/pdf","AccidentReport")</f>
        <v>AccidentReport</v>
      </c>
      <c r="C874" t="s">
        <v>2022</v>
      </c>
      <c r="D874" t="s">
        <v>2023</v>
      </c>
      <c r="E874" t="s">
        <v>154</v>
      </c>
      <c r="F874" t="s">
        <v>88</v>
      </c>
      <c r="G874">
        <v>30.572778</v>
      </c>
      <c r="H874">
        <v>-97.443054000000004</v>
      </c>
      <c r="K874" t="s">
        <v>89</v>
      </c>
      <c r="L874">
        <v>1</v>
      </c>
      <c r="M874" t="s">
        <v>90</v>
      </c>
      <c r="N874" t="s">
        <v>91</v>
      </c>
      <c r="O874" t="s">
        <v>92</v>
      </c>
      <c r="S874" t="s">
        <v>93</v>
      </c>
      <c r="T874" t="s">
        <v>749</v>
      </c>
      <c r="U874" t="s">
        <v>248</v>
      </c>
    </row>
    <row r="875" spans="1:21" x14ac:dyDescent="0.3">
      <c r="A875" t="s">
        <v>2024</v>
      </c>
      <c r="B875" s="6" t="str">
        <f>HYPERLINK("http://data.ntsb.gov/carol-repgen/api/Aviation/ReportMain/GenerateNewestReport/100183/pdf","AccidentReport")</f>
        <v>AccidentReport</v>
      </c>
      <c r="C875" t="s">
        <v>2022</v>
      </c>
      <c r="D875" t="s">
        <v>562</v>
      </c>
      <c r="E875" t="s">
        <v>138</v>
      </c>
      <c r="F875" t="s">
        <v>88</v>
      </c>
      <c r="G875">
        <v>42.757221000000001</v>
      </c>
      <c r="H875">
        <v>-83.353331999999995</v>
      </c>
      <c r="J875">
        <v>2</v>
      </c>
      <c r="K875" t="s">
        <v>99</v>
      </c>
      <c r="L875">
        <v>1</v>
      </c>
      <c r="M875" t="s">
        <v>90</v>
      </c>
      <c r="N875" t="s">
        <v>91</v>
      </c>
      <c r="O875" t="s">
        <v>92</v>
      </c>
      <c r="S875" t="s">
        <v>108</v>
      </c>
      <c r="T875" t="s">
        <v>102</v>
      </c>
      <c r="U875" t="s">
        <v>150</v>
      </c>
    </row>
    <row r="876" spans="1:21" x14ac:dyDescent="0.3">
      <c r="A876" t="s">
        <v>2025</v>
      </c>
      <c r="B876" s="6" t="str">
        <f>HYPERLINK("http://data.ntsb.gov/carol-repgen/api/Aviation/ReportMain/GenerateNewestReport/100193/pdf","AccidentReport")</f>
        <v>AccidentReport</v>
      </c>
      <c r="C876" t="s">
        <v>2022</v>
      </c>
      <c r="D876" t="s">
        <v>2026</v>
      </c>
      <c r="E876" t="s">
        <v>154</v>
      </c>
      <c r="F876" t="s">
        <v>88</v>
      </c>
      <c r="G876">
        <v>29.908332000000001</v>
      </c>
      <c r="H876">
        <v>-96.949995999999999</v>
      </c>
      <c r="K876" t="s">
        <v>89</v>
      </c>
      <c r="L876">
        <v>1</v>
      </c>
      <c r="M876" t="s">
        <v>90</v>
      </c>
      <c r="N876" t="s">
        <v>91</v>
      </c>
      <c r="O876" t="s">
        <v>92</v>
      </c>
      <c r="S876" t="s">
        <v>108</v>
      </c>
      <c r="T876" t="s">
        <v>109</v>
      </c>
      <c r="U876" t="s">
        <v>95</v>
      </c>
    </row>
    <row r="877" spans="1:21" x14ac:dyDescent="0.3">
      <c r="A877" t="s">
        <v>2027</v>
      </c>
      <c r="B877" s="6" t="str">
        <f>HYPERLINK("http://data.ntsb.gov/carol-repgen/api/Aviation/ReportMain/GenerateNewestReport/100255/pdf","AccidentReport")</f>
        <v>AccidentReport</v>
      </c>
      <c r="C877" t="s">
        <v>2022</v>
      </c>
      <c r="D877" t="s">
        <v>2028</v>
      </c>
      <c r="E877" t="s">
        <v>457</v>
      </c>
      <c r="F877" t="s">
        <v>88</v>
      </c>
      <c r="G877">
        <v>36.531944000000003</v>
      </c>
      <c r="H877">
        <v>-93.200552999999999</v>
      </c>
      <c r="K877" t="s">
        <v>155</v>
      </c>
      <c r="L877">
        <v>1</v>
      </c>
      <c r="M877" t="s">
        <v>90</v>
      </c>
      <c r="N877" t="s">
        <v>91</v>
      </c>
      <c r="O877" t="s">
        <v>92</v>
      </c>
      <c r="S877" t="s">
        <v>108</v>
      </c>
      <c r="T877" t="s">
        <v>159</v>
      </c>
      <c r="U877" t="s">
        <v>186</v>
      </c>
    </row>
    <row r="878" spans="1:21" x14ac:dyDescent="0.3">
      <c r="A878" t="s">
        <v>2029</v>
      </c>
      <c r="B878" s="6" t="str">
        <f>HYPERLINK("http://data.ntsb.gov/carol-repgen/api/Aviation/ReportMain/GenerateNewestReport/100308/pdf","AccidentReport")</f>
        <v>AccidentReport</v>
      </c>
      <c r="C878" t="s">
        <v>2022</v>
      </c>
      <c r="D878" t="s">
        <v>375</v>
      </c>
      <c r="E878" t="s">
        <v>165</v>
      </c>
      <c r="F878" t="s">
        <v>88</v>
      </c>
      <c r="G878">
        <v>36.198332999999998</v>
      </c>
      <c r="H878">
        <v>-95.888052999999999</v>
      </c>
      <c r="K878" t="s">
        <v>89</v>
      </c>
      <c r="L878">
        <v>1</v>
      </c>
      <c r="M878" t="s">
        <v>90</v>
      </c>
      <c r="N878" t="s">
        <v>91</v>
      </c>
      <c r="O878" t="s">
        <v>92</v>
      </c>
      <c r="S878" t="s">
        <v>108</v>
      </c>
      <c r="T878" t="s">
        <v>102</v>
      </c>
      <c r="U878" t="s">
        <v>95</v>
      </c>
    </row>
    <row r="879" spans="1:21" x14ac:dyDescent="0.3">
      <c r="A879" t="s">
        <v>2030</v>
      </c>
      <c r="B879" s="6" t="str">
        <f>HYPERLINK("http://data.ntsb.gov/carol-repgen/api/Aviation/ReportMain/GenerateNewestReport/100179/pdf","AccidentReport")</f>
        <v>AccidentReport</v>
      </c>
      <c r="C879" t="s">
        <v>2022</v>
      </c>
      <c r="D879" t="s">
        <v>2031</v>
      </c>
      <c r="E879" t="s">
        <v>786</v>
      </c>
      <c r="F879" t="s">
        <v>88</v>
      </c>
      <c r="G879">
        <v>34.539442999999999</v>
      </c>
      <c r="H879">
        <v>-87.530829999999995</v>
      </c>
      <c r="I879">
        <v>1</v>
      </c>
      <c r="K879" t="s">
        <v>107</v>
      </c>
      <c r="L879">
        <v>1</v>
      </c>
      <c r="M879" t="s">
        <v>147</v>
      </c>
      <c r="N879" t="s">
        <v>91</v>
      </c>
      <c r="O879" t="s">
        <v>169</v>
      </c>
      <c r="S879" t="s">
        <v>515</v>
      </c>
      <c r="T879" t="s">
        <v>113</v>
      </c>
      <c r="U879" t="s">
        <v>103</v>
      </c>
    </row>
    <row r="880" spans="1:21" x14ac:dyDescent="0.3">
      <c r="A880" t="s">
        <v>2032</v>
      </c>
      <c r="B880" s="6" t="str">
        <f>HYPERLINK("http://data.ntsb.gov/carol-repgen/api/Aviation/ReportMain/GenerateNewestReport/100186/pdf","AccidentReport")</f>
        <v>AccidentReport</v>
      </c>
      <c r="C880" t="s">
        <v>2022</v>
      </c>
      <c r="D880" t="s">
        <v>2033</v>
      </c>
      <c r="E880" t="s">
        <v>138</v>
      </c>
      <c r="F880" t="s">
        <v>88</v>
      </c>
      <c r="G880">
        <v>45.865000999999999</v>
      </c>
      <c r="H880">
        <v>-84.637221999999994</v>
      </c>
      <c r="K880" t="s">
        <v>89</v>
      </c>
      <c r="L880">
        <v>1</v>
      </c>
      <c r="M880" t="s">
        <v>90</v>
      </c>
      <c r="N880" t="s">
        <v>91</v>
      </c>
      <c r="O880" t="s">
        <v>92</v>
      </c>
      <c r="S880" t="s">
        <v>108</v>
      </c>
      <c r="T880" t="s">
        <v>94</v>
      </c>
      <c r="U880" t="s">
        <v>95</v>
      </c>
    </row>
    <row r="881" spans="1:21" x14ac:dyDescent="0.3">
      <c r="A881" t="s">
        <v>2034</v>
      </c>
      <c r="B881" s="6" t="str">
        <f>HYPERLINK("http://data.ntsb.gov/carol-repgen/api/Aviation/ReportMain/GenerateNewestReport/100198/pdf","AccidentReport")</f>
        <v>AccidentReport</v>
      </c>
      <c r="C881" t="s">
        <v>2022</v>
      </c>
      <c r="D881" t="s">
        <v>2035</v>
      </c>
      <c r="E881" t="s">
        <v>106</v>
      </c>
      <c r="F881" t="s">
        <v>88</v>
      </c>
      <c r="G881">
        <v>37.511943000000002</v>
      </c>
      <c r="H881">
        <v>-122.249443</v>
      </c>
      <c r="K881" t="s">
        <v>89</v>
      </c>
      <c r="L881">
        <v>1</v>
      </c>
      <c r="M881" t="s">
        <v>90</v>
      </c>
      <c r="N881" t="s">
        <v>91</v>
      </c>
      <c r="O881" t="s">
        <v>92</v>
      </c>
      <c r="S881" t="s">
        <v>108</v>
      </c>
      <c r="T881" t="s">
        <v>94</v>
      </c>
      <c r="U881" t="s">
        <v>95</v>
      </c>
    </row>
    <row r="882" spans="1:21" x14ac:dyDescent="0.3">
      <c r="A882" t="s">
        <v>2036</v>
      </c>
      <c r="B882" s="6" t="str">
        <f>HYPERLINK("http://data.ntsb.gov/carol-repgen/api/Aviation/ReportMain/GenerateNewestReport/100226/pdf","AccidentReport")</f>
        <v>AccidentReport</v>
      </c>
      <c r="C882" t="s">
        <v>2022</v>
      </c>
      <c r="D882" t="s">
        <v>2037</v>
      </c>
      <c r="E882" t="s">
        <v>138</v>
      </c>
      <c r="F882" t="s">
        <v>88</v>
      </c>
      <c r="G882">
        <v>46.318888999999999</v>
      </c>
      <c r="H882">
        <v>-87.281943999999996</v>
      </c>
      <c r="K882" t="s">
        <v>89</v>
      </c>
      <c r="L882">
        <v>1</v>
      </c>
      <c r="M882" t="s">
        <v>90</v>
      </c>
      <c r="N882" t="s">
        <v>91</v>
      </c>
      <c r="O882" t="s">
        <v>92</v>
      </c>
      <c r="S882" t="s">
        <v>108</v>
      </c>
      <c r="T882" t="s">
        <v>118</v>
      </c>
      <c r="U882" t="s">
        <v>186</v>
      </c>
    </row>
    <row r="883" spans="1:21" x14ac:dyDescent="0.3">
      <c r="A883" t="s">
        <v>2038</v>
      </c>
      <c r="B883" s="6" t="str">
        <f>HYPERLINK("http://data.ntsb.gov/carol-repgen/api/Aviation/ReportMain/GenerateNewestReport/100243/pdf","AccidentReport")</f>
        <v>AccidentReport</v>
      </c>
      <c r="C883" t="s">
        <v>2039</v>
      </c>
      <c r="D883" t="s">
        <v>1789</v>
      </c>
      <c r="E883" t="s">
        <v>233</v>
      </c>
      <c r="F883" t="s">
        <v>88</v>
      </c>
      <c r="G883">
        <v>60.968887000000002</v>
      </c>
      <c r="H883">
        <v>-149.11944500000001</v>
      </c>
      <c r="K883" t="s">
        <v>89</v>
      </c>
      <c r="L883">
        <v>1</v>
      </c>
      <c r="M883" t="s">
        <v>90</v>
      </c>
      <c r="N883" t="s">
        <v>91</v>
      </c>
      <c r="O883" t="s">
        <v>92</v>
      </c>
      <c r="S883" t="s">
        <v>108</v>
      </c>
      <c r="T883" t="s">
        <v>94</v>
      </c>
      <c r="U883" t="s">
        <v>95</v>
      </c>
    </row>
    <row r="884" spans="1:21" x14ac:dyDescent="0.3">
      <c r="A884" t="s">
        <v>2040</v>
      </c>
      <c r="B884" s="6" t="str">
        <f>HYPERLINK("http://data.ntsb.gov/carol-repgen/api/Aviation/ReportMain/GenerateNewestReport/100232/pdf","AccidentReport")</f>
        <v>AccidentReport</v>
      </c>
      <c r="C884" t="s">
        <v>2039</v>
      </c>
      <c r="D884" t="s">
        <v>2041</v>
      </c>
      <c r="E884" t="s">
        <v>131</v>
      </c>
      <c r="F884" t="s">
        <v>88</v>
      </c>
      <c r="G884">
        <v>39.268053999999999</v>
      </c>
      <c r="H884">
        <v>-108.864166</v>
      </c>
      <c r="K884" t="s">
        <v>89</v>
      </c>
      <c r="L884">
        <v>1</v>
      </c>
      <c r="M884" t="s">
        <v>90</v>
      </c>
      <c r="N884" t="s">
        <v>91</v>
      </c>
      <c r="O884" t="s">
        <v>92</v>
      </c>
      <c r="S884" t="s">
        <v>173</v>
      </c>
      <c r="T884" t="s">
        <v>139</v>
      </c>
      <c r="U884" t="s">
        <v>186</v>
      </c>
    </row>
    <row r="885" spans="1:21" x14ac:dyDescent="0.3">
      <c r="A885" t="s">
        <v>2042</v>
      </c>
      <c r="B885" s="6" t="str">
        <f>HYPERLINK("http://data.ntsb.gov/carol-repgen/api/Aviation/ReportMain/GenerateNewestReport/100194/pdf","AccidentReport")</f>
        <v>AccidentReport</v>
      </c>
      <c r="C885" t="s">
        <v>2043</v>
      </c>
      <c r="D885" t="s">
        <v>2044</v>
      </c>
      <c r="E885" t="s">
        <v>142</v>
      </c>
      <c r="F885" t="s">
        <v>88</v>
      </c>
      <c r="G885">
        <v>40.881667999999998</v>
      </c>
      <c r="H885">
        <v>-84.644165000000001</v>
      </c>
      <c r="K885" t="s">
        <v>89</v>
      </c>
      <c r="L885">
        <v>1</v>
      </c>
      <c r="M885" t="s">
        <v>90</v>
      </c>
      <c r="N885" t="s">
        <v>91</v>
      </c>
      <c r="O885" t="s">
        <v>92</v>
      </c>
      <c r="S885" t="s">
        <v>108</v>
      </c>
      <c r="T885" t="s">
        <v>159</v>
      </c>
      <c r="U885" t="s">
        <v>186</v>
      </c>
    </row>
    <row r="886" spans="1:21" x14ac:dyDescent="0.3">
      <c r="A886" t="s">
        <v>2045</v>
      </c>
      <c r="B886" s="6" t="str">
        <f>HYPERLINK("http://data.ntsb.gov/carol-repgen/api/Aviation/ReportMain/GenerateNewestReport/100200/pdf","AccidentReport")</f>
        <v>AccidentReport</v>
      </c>
      <c r="C886" t="s">
        <v>2043</v>
      </c>
      <c r="D886" t="s">
        <v>2046</v>
      </c>
      <c r="E886" t="s">
        <v>1289</v>
      </c>
      <c r="F886" t="s">
        <v>88</v>
      </c>
      <c r="G886">
        <v>38.369444999999999</v>
      </c>
      <c r="H886">
        <v>-81.601943000000006</v>
      </c>
      <c r="K886" t="s">
        <v>155</v>
      </c>
      <c r="L886">
        <v>1</v>
      </c>
      <c r="M886" t="s">
        <v>90</v>
      </c>
      <c r="N886" t="s">
        <v>91</v>
      </c>
      <c r="O886" t="s">
        <v>92</v>
      </c>
      <c r="S886" t="s">
        <v>108</v>
      </c>
      <c r="T886" t="s">
        <v>499</v>
      </c>
      <c r="U886" t="s">
        <v>95</v>
      </c>
    </row>
    <row r="887" spans="1:21" x14ac:dyDescent="0.3">
      <c r="A887" t="s">
        <v>2047</v>
      </c>
      <c r="B887" s="6" t="str">
        <f>HYPERLINK("http://data.ntsb.gov/carol-repgen/api/Aviation/ReportMain/GenerateNewestReport/100238/pdf","AccidentReport")</f>
        <v>AccidentReport</v>
      </c>
      <c r="C887" t="s">
        <v>2043</v>
      </c>
      <c r="D887" t="s">
        <v>451</v>
      </c>
      <c r="E887" t="s">
        <v>233</v>
      </c>
      <c r="F887" t="s">
        <v>88</v>
      </c>
      <c r="G887">
        <v>61.310001</v>
      </c>
      <c r="H887">
        <v>-148.58000100000001</v>
      </c>
      <c r="K887" t="s">
        <v>89</v>
      </c>
      <c r="L887">
        <v>1</v>
      </c>
      <c r="M887" t="s">
        <v>90</v>
      </c>
      <c r="N887" t="s">
        <v>91</v>
      </c>
      <c r="O887" t="s">
        <v>92</v>
      </c>
      <c r="S887" t="s">
        <v>108</v>
      </c>
      <c r="T887" t="s">
        <v>109</v>
      </c>
      <c r="U887" t="s">
        <v>95</v>
      </c>
    </row>
    <row r="888" spans="1:21" x14ac:dyDescent="0.3">
      <c r="A888" t="s">
        <v>2048</v>
      </c>
      <c r="B888" s="6" t="str">
        <f>HYPERLINK("http://data.ntsb.gov/carol-repgen/api/Aviation/ReportMain/GenerateNewestReport/100239/pdf","AccidentReport")</f>
        <v>AccidentReport</v>
      </c>
      <c r="C888" t="s">
        <v>2043</v>
      </c>
      <c r="D888" t="s">
        <v>2049</v>
      </c>
      <c r="E888" t="s">
        <v>786</v>
      </c>
      <c r="F888" t="s">
        <v>88</v>
      </c>
      <c r="G888">
        <v>33.863334000000002</v>
      </c>
      <c r="H888">
        <v>-87.845275000000001</v>
      </c>
      <c r="K888" t="s">
        <v>89</v>
      </c>
      <c r="L888">
        <v>1</v>
      </c>
      <c r="M888" t="s">
        <v>90</v>
      </c>
      <c r="N888" t="s">
        <v>91</v>
      </c>
      <c r="O888" t="s">
        <v>92</v>
      </c>
      <c r="S888" t="s">
        <v>108</v>
      </c>
      <c r="T888" t="s">
        <v>109</v>
      </c>
      <c r="U888" t="s">
        <v>221</v>
      </c>
    </row>
    <row r="889" spans="1:21" x14ac:dyDescent="0.3">
      <c r="A889" t="s">
        <v>2050</v>
      </c>
      <c r="B889" s="6" t="str">
        <f>HYPERLINK("http://data.ntsb.gov/carol-repgen/api/Aviation/ReportMain/GenerateNewestReport/100273/pdf","AccidentReport")</f>
        <v>AccidentReport</v>
      </c>
      <c r="C889" t="s">
        <v>2043</v>
      </c>
      <c r="D889" t="s">
        <v>2051</v>
      </c>
      <c r="E889" t="s">
        <v>154</v>
      </c>
      <c r="F889" t="s">
        <v>88</v>
      </c>
      <c r="G889">
        <v>32.577499000000003</v>
      </c>
      <c r="H889">
        <v>-96.717498000000006</v>
      </c>
      <c r="K889" t="s">
        <v>89</v>
      </c>
      <c r="L889">
        <v>1</v>
      </c>
      <c r="M889" t="s">
        <v>90</v>
      </c>
      <c r="N889" t="s">
        <v>91</v>
      </c>
      <c r="O889" t="s">
        <v>92</v>
      </c>
      <c r="S889" t="s">
        <v>108</v>
      </c>
      <c r="T889" t="s">
        <v>94</v>
      </c>
      <c r="U889" t="s">
        <v>95</v>
      </c>
    </row>
    <row r="890" spans="1:21" x14ac:dyDescent="0.3">
      <c r="A890" t="s">
        <v>2052</v>
      </c>
      <c r="B890" s="6" t="str">
        <f>HYPERLINK("http://data.ntsb.gov/carol-repgen/api/Aviation/ReportMain/GenerateNewestReport/100196/pdf","AccidentReport")</f>
        <v>AccidentReport</v>
      </c>
      <c r="C890" t="s">
        <v>2043</v>
      </c>
      <c r="D890" t="s">
        <v>2053</v>
      </c>
      <c r="E890" t="s">
        <v>192</v>
      </c>
      <c r="F890" t="s">
        <v>88</v>
      </c>
      <c r="G890">
        <v>41.015276999999998</v>
      </c>
      <c r="H890">
        <v>-111.58083000000001</v>
      </c>
      <c r="I890">
        <v>2</v>
      </c>
      <c r="K890" t="s">
        <v>107</v>
      </c>
      <c r="L890">
        <v>1</v>
      </c>
      <c r="M890" t="s">
        <v>90</v>
      </c>
      <c r="N890" t="s">
        <v>91</v>
      </c>
      <c r="O890" t="s">
        <v>92</v>
      </c>
      <c r="S890" t="s">
        <v>101</v>
      </c>
      <c r="T890" t="s">
        <v>332</v>
      </c>
      <c r="U890" t="s">
        <v>103</v>
      </c>
    </row>
    <row r="891" spans="1:21" x14ac:dyDescent="0.3">
      <c r="A891" t="s">
        <v>2054</v>
      </c>
      <c r="B891" s="6" t="str">
        <f>HYPERLINK("http://data.ntsb.gov/carol-repgen/api/Aviation/ReportMain/GenerateNewestReport/100281/pdf","AccidentReport")</f>
        <v>AccidentReport</v>
      </c>
      <c r="C891" t="s">
        <v>2055</v>
      </c>
      <c r="D891" t="s">
        <v>2056</v>
      </c>
      <c r="E891" t="s">
        <v>233</v>
      </c>
      <c r="F891" t="s">
        <v>88</v>
      </c>
      <c r="G891">
        <v>61.416110000000003</v>
      </c>
      <c r="H891">
        <v>-149.508331</v>
      </c>
      <c r="K891" t="s">
        <v>89</v>
      </c>
      <c r="L891">
        <v>1</v>
      </c>
      <c r="M891" t="s">
        <v>90</v>
      </c>
      <c r="N891" t="s">
        <v>91</v>
      </c>
      <c r="O891" t="s">
        <v>92</v>
      </c>
      <c r="S891" t="s">
        <v>93</v>
      </c>
      <c r="T891" t="s">
        <v>109</v>
      </c>
      <c r="U891" t="s">
        <v>95</v>
      </c>
    </row>
    <row r="892" spans="1:21" x14ac:dyDescent="0.3">
      <c r="A892" t="s">
        <v>2057</v>
      </c>
      <c r="B892" s="6" t="str">
        <f>HYPERLINK("http://data.ntsb.gov/carol-repgen/api/Aviation/ReportMain/GenerateNewestReport/100201/pdf","AccidentReport")</f>
        <v>AccidentReport</v>
      </c>
      <c r="C892" t="s">
        <v>2055</v>
      </c>
      <c r="D892" t="s">
        <v>2058</v>
      </c>
      <c r="E892" t="s">
        <v>345</v>
      </c>
      <c r="F892" t="s">
        <v>88</v>
      </c>
      <c r="G892">
        <v>42.52</v>
      </c>
      <c r="H892">
        <v>-105.01999600000001</v>
      </c>
      <c r="K892" t="s">
        <v>89</v>
      </c>
      <c r="L892">
        <v>1</v>
      </c>
      <c r="M892" t="s">
        <v>90</v>
      </c>
      <c r="N892" t="s">
        <v>91</v>
      </c>
      <c r="O892" t="s">
        <v>92</v>
      </c>
      <c r="S892" t="s">
        <v>108</v>
      </c>
      <c r="T892" t="s">
        <v>94</v>
      </c>
      <c r="U892" t="s">
        <v>95</v>
      </c>
    </row>
    <row r="893" spans="1:21" x14ac:dyDescent="0.3">
      <c r="A893" t="s">
        <v>2059</v>
      </c>
      <c r="B893" s="6" t="str">
        <f>HYPERLINK("http://data.ntsb.gov/carol-repgen/api/Aviation/ReportMain/GenerateNewestReport/100229/pdf","AccidentReport")</f>
        <v>AccidentReport</v>
      </c>
      <c r="C893" t="s">
        <v>2055</v>
      </c>
      <c r="D893" t="s">
        <v>2060</v>
      </c>
      <c r="E893" t="s">
        <v>165</v>
      </c>
      <c r="F893" t="s">
        <v>88</v>
      </c>
      <c r="G893">
        <v>35.930278000000001</v>
      </c>
      <c r="H893">
        <v>-95.004446999999999</v>
      </c>
      <c r="K893" t="s">
        <v>155</v>
      </c>
      <c r="L893">
        <v>1</v>
      </c>
      <c r="M893" t="s">
        <v>90</v>
      </c>
      <c r="N893" t="s">
        <v>91</v>
      </c>
      <c r="O893" t="s">
        <v>92</v>
      </c>
      <c r="S893" t="s">
        <v>108</v>
      </c>
      <c r="T893" t="s">
        <v>159</v>
      </c>
      <c r="U893" t="s">
        <v>119</v>
      </c>
    </row>
    <row r="894" spans="1:21" x14ac:dyDescent="0.3">
      <c r="A894" t="s">
        <v>2061</v>
      </c>
      <c r="B894" s="6" t="str">
        <f>HYPERLINK("http://data.ntsb.gov/carol-repgen/api/Aviation/ReportMain/GenerateNewestReport/100205/pdf","AccidentReport")</f>
        <v>AccidentReport</v>
      </c>
      <c r="C894" t="s">
        <v>2062</v>
      </c>
      <c r="D894" t="s">
        <v>2063</v>
      </c>
      <c r="E894" t="s">
        <v>154</v>
      </c>
      <c r="F894" t="s">
        <v>88</v>
      </c>
      <c r="G894">
        <v>32.463889999999999</v>
      </c>
      <c r="H894">
        <v>-96.920828999999998</v>
      </c>
      <c r="K894" t="s">
        <v>89</v>
      </c>
      <c r="L894">
        <v>1</v>
      </c>
      <c r="M894" t="s">
        <v>90</v>
      </c>
      <c r="N894" t="s">
        <v>91</v>
      </c>
      <c r="O894" t="s">
        <v>92</v>
      </c>
      <c r="S894" t="s">
        <v>93</v>
      </c>
      <c r="T894" t="s">
        <v>118</v>
      </c>
      <c r="U894" t="s">
        <v>248</v>
      </c>
    </row>
    <row r="895" spans="1:21" x14ac:dyDescent="0.3">
      <c r="A895" t="s">
        <v>2064</v>
      </c>
      <c r="B895" s="6" t="str">
        <f>HYPERLINK("http://data.ntsb.gov/carol-repgen/api/Aviation/ReportMain/GenerateNewestReport/100268/pdf","AccidentReport")</f>
        <v>AccidentReport</v>
      </c>
      <c r="C895" t="s">
        <v>2062</v>
      </c>
      <c r="D895" t="s">
        <v>2065</v>
      </c>
      <c r="E895" t="s">
        <v>518</v>
      </c>
      <c r="F895" t="s">
        <v>88</v>
      </c>
      <c r="G895">
        <v>42.742778000000001</v>
      </c>
      <c r="H895">
        <v>-94.647223999999994</v>
      </c>
      <c r="K895" t="s">
        <v>89</v>
      </c>
      <c r="L895">
        <v>1</v>
      </c>
      <c r="M895" t="s">
        <v>90</v>
      </c>
      <c r="N895" t="s">
        <v>91</v>
      </c>
      <c r="O895" t="s">
        <v>92</v>
      </c>
      <c r="S895" t="s">
        <v>108</v>
      </c>
      <c r="T895" t="s">
        <v>139</v>
      </c>
      <c r="U895" t="s">
        <v>95</v>
      </c>
    </row>
    <row r="896" spans="1:21" x14ac:dyDescent="0.3">
      <c r="A896" t="s">
        <v>2066</v>
      </c>
      <c r="B896" s="6" t="str">
        <f>HYPERLINK("http://data.ntsb.gov/carol-repgen/api/Aviation/ReportMain/GenerateNewestReport/100204/pdf","AccidentReport")</f>
        <v>AccidentReport</v>
      </c>
      <c r="C896" t="s">
        <v>2062</v>
      </c>
      <c r="D896" t="s">
        <v>2067</v>
      </c>
      <c r="E896" t="s">
        <v>98</v>
      </c>
      <c r="F896" t="s">
        <v>88</v>
      </c>
      <c r="G896">
        <v>28.944998999999999</v>
      </c>
      <c r="H896">
        <v>-81.869163</v>
      </c>
      <c r="I896">
        <v>1</v>
      </c>
      <c r="J896">
        <v>0</v>
      </c>
      <c r="K896" t="s">
        <v>107</v>
      </c>
      <c r="L896">
        <v>1</v>
      </c>
      <c r="M896" t="s">
        <v>147</v>
      </c>
      <c r="N896" t="s">
        <v>91</v>
      </c>
      <c r="O896" t="s">
        <v>92</v>
      </c>
      <c r="S896" t="s">
        <v>108</v>
      </c>
      <c r="T896" t="s">
        <v>102</v>
      </c>
      <c r="U896" t="s">
        <v>119</v>
      </c>
    </row>
    <row r="897" spans="1:21" x14ac:dyDescent="0.3">
      <c r="A897" t="s">
        <v>2068</v>
      </c>
      <c r="B897" s="6" t="str">
        <f>HYPERLINK("http://data.ntsb.gov/carol-repgen/api/Aviation/ReportMain/GenerateNewestReport/100220/pdf","AccidentReport")</f>
        <v>AccidentReport</v>
      </c>
      <c r="C897" t="s">
        <v>2062</v>
      </c>
      <c r="D897" t="s">
        <v>2069</v>
      </c>
      <c r="E897" t="s">
        <v>233</v>
      </c>
      <c r="F897" t="s">
        <v>88</v>
      </c>
      <c r="G897">
        <v>63.88861</v>
      </c>
      <c r="H897">
        <v>-160.79916299999999</v>
      </c>
      <c r="K897" t="s">
        <v>89</v>
      </c>
      <c r="L897">
        <v>1</v>
      </c>
      <c r="M897" t="s">
        <v>90</v>
      </c>
      <c r="N897" t="s">
        <v>100</v>
      </c>
      <c r="O897" t="s">
        <v>462</v>
      </c>
      <c r="S897" t="s">
        <v>463</v>
      </c>
      <c r="T897" t="s">
        <v>769</v>
      </c>
      <c r="U897" t="s">
        <v>95</v>
      </c>
    </row>
    <row r="898" spans="1:21" x14ac:dyDescent="0.3">
      <c r="A898" t="s">
        <v>2070</v>
      </c>
      <c r="B898" s="6" t="str">
        <f>HYPERLINK("http://data.ntsb.gov/carol-repgen/api/Aviation/ReportMain/GenerateNewestReport/100203/pdf","AccidentReport")</f>
        <v>AccidentReport</v>
      </c>
      <c r="C898" t="s">
        <v>2062</v>
      </c>
      <c r="D898" t="s">
        <v>2071</v>
      </c>
      <c r="E898" t="s">
        <v>251</v>
      </c>
      <c r="F898" t="s">
        <v>88</v>
      </c>
      <c r="G898">
        <v>45.673889000000003</v>
      </c>
      <c r="H898">
        <v>-121.542221</v>
      </c>
      <c r="I898">
        <v>2</v>
      </c>
      <c r="K898" t="s">
        <v>107</v>
      </c>
      <c r="L898">
        <v>1</v>
      </c>
      <c r="M898" t="s">
        <v>90</v>
      </c>
      <c r="N898" t="s">
        <v>91</v>
      </c>
      <c r="O898" t="s">
        <v>92</v>
      </c>
      <c r="S898" t="s">
        <v>108</v>
      </c>
      <c r="T898" t="s">
        <v>159</v>
      </c>
      <c r="U898" t="s">
        <v>248</v>
      </c>
    </row>
    <row r="899" spans="1:21" x14ac:dyDescent="0.3">
      <c r="A899" t="s">
        <v>2072</v>
      </c>
      <c r="B899" s="6" t="str">
        <f>HYPERLINK("http://data.ntsb.gov/carol-repgen/api/Aviation/ReportMain/GenerateNewestReport/100206/pdf","AccidentReport")</f>
        <v>AccidentReport</v>
      </c>
      <c r="C899" t="s">
        <v>2073</v>
      </c>
      <c r="D899" t="s">
        <v>2074</v>
      </c>
      <c r="E899" t="s">
        <v>345</v>
      </c>
      <c r="F899" t="s">
        <v>88</v>
      </c>
      <c r="G899">
        <v>41.029997999999999</v>
      </c>
      <c r="H899">
        <v>-104.24639000000001</v>
      </c>
      <c r="I899">
        <v>1</v>
      </c>
      <c r="K899" t="s">
        <v>107</v>
      </c>
      <c r="L899">
        <v>1</v>
      </c>
      <c r="M899" t="s">
        <v>147</v>
      </c>
      <c r="N899" t="s">
        <v>91</v>
      </c>
      <c r="O899" t="s">
        <v>92</v>
      </c>
      <c r="S899" t="s">
        <v>108</v>
      </c>
      <c r="T899" t="s">
        <v>102</v>
      </c>
      <c r="U899" t="s">
        <v>186</v>
      </c>
    </row>
    <row r="900" spans="1:21" x14ac:dyDescent="0.3">
      <c r="A900" t="s">
        <v>2075</v>
      </c>
      <c r="B900" s="6" t="str">
        <f>HYPERLINK("http://data.ntsb.gov/carol-repgen/api/Aviation/ReportMain/GenerateNewestReport/100210/pdf","AccidentReport")</f>
        <v>AccidentReport</v>
      </c>
      <c r="C900" t="s">
        <v>2073</v>
      </c>
      <c r="D900" t="s">
        <v>2076</v>
      </c>
      <c r="E900" t="s">
        <v>154</v>
      </c>
      <c r="F900" t="s">
        <v>88</v>
      </c>
      <c r="G900">
        <v>29.634166</v>
      </c>
      <c r="H900">
        <v>-97.811667999999997</v>
      </c>
      <c r="J900">
        <v>1</v>
      </c>
      <c r="K900" t="s">
        <v>99</v>
      </c>
      <c r="L900">
        <v>1</v>
      </c>
      <c r="M900" t="s">
        <v>90</v>
      </c>
      <c r="N900" t="s">
        <v>91</v>
      </c>
      <c r="O900" t="s">
        <v>92</v>
      </c>
      <c r="S900" t="s">
        <v>108</v>
      </c>
      <c r="T900" t="s">
        <v>159</v>
      </c>
      <c r="U900" t="s">
        <v>150</v>
      </c>
    </row>
    <row r="901" spans="1:21" x14ac:dyDescent="0.3">
      <c r="A901" t="s">
        <v>2077</v>
      </c>
      <c r="B901" s="6" t="str">
        <f>HYPERLINK("http://data.ntsb.gov/carol-repgen/api/Aviation/ReportMain/GenerateNewestReport/100221/pdf","AccidentReport")</f>
        <v>AccidentReport</v>
      </c>
      <c r="C901" t="s">
        <v>2073</v>
      </c>
      <c r="D901" t="s">
        <v>2078</v>
      </c>
      <c r="E901" t="s">
        <v>228</v>
      </c>
      <c r="F901" t="s">
        <v>88</v>
      </c>
      <c r="G901">
        <v>32.220001000000003</v>
      </c>
      <c r="H901">
        <v>-91.870001999999999</v>
      </c>
      <c r="K901" t="s">
        <v>89</v>
      </c>
      <c r="L901">
        <v>1</v>
      </c>
      <c r="M901" t="s">
        <v>90</v>
      </c>
      <c r="N901" t="s">
        <v>91</v>
      </c>
      <c r="O901" t="s">
        <v>92</v>
      </c>
      <c r="S901" t="s">
        <v>108</v>
      </c>
      <c r="T901" t="s">
        <v>94</v>
      </c>
      <c r="U901" t="s">
        <v>95</v>
      </c>
    </row>
    <row r="902" spans="1:21" x14ac:dyDescent="0.3">
      <c r="A902" t="s">
        <v>2079</v>
      </c>
      <c r="B902" s="6" t="str">
        <f>HYPERLINK("http://data.ntsb.gov/carol-repgen/api/Aviation/ReportMain/GenerateNewestReport/100217/pdf","AccidentReport")</f>
        <v>AccidentReport</v>
      </c>
      <c r="C902" t="s">
        <v>2073</v>
      </c>
      <c r="D902" t="s">
        <v>2080</v>
      </c>
      <c r="E902" t="s">
        <v>106</v>
      </c>
      <c r="F902" t="s">
        <v>88</v>
      </c>
      <c r="G902">
        <v>39.039442999999999</v>
      </c>
      <c r="H902">
        <v>-122.907775</v>
      </c>
      <c r="K902" t="s">
        <v>155</v>
      </c>
      <c r="L902">
        <v>1</v>
      </c>
      <c r="M902" t="s">
        <v>90</v>
      </c>
      <c r="N902" t="s">
        <v>91</v>
      </c>
      <c r="O902" t="s">
        <v>92</v>
      </c>
      <c r="S902" t="s">
        <v>108</v>
      </c>
      <c r="T902" t="s">
        <v>102</v>
      </c>
      <c r="U902" t="s">
        <v>248</v>
      </c>
    </row>
    <row r="903" spans="1:21" x14ac:dyDescent="0.3">
      <c r="A903" t="s">
        <v>2081</v>
      </c>
      <c r="B903" s="6" t="str">
        <f>HYPERLINK("http://data.ntsb.gov/carol-repgen/api/Aviation/ReportMain/GenerateNewestReport/100218/pdf","AccidentReport")</f>
        <v>AccidentReport</v>
      </c>
      <c r="C903" t="s">
        <v>2073</v>
      </c>
      <c r="D903" t="s">
        <v>2082</v>
      </c>
      <c r="E903" t="s">
        <v>233</v>
      </c>
      <c r="F903" t="s">
        <v>88</v>
      </c>
      <c r="G903">
        <v>59.129615000000001</v>
      </c>
      <c r="H903">
        <v>-161.569503</v>
      </c>
      <c r="K903" t="s">
        <v>89</v>
      </c>
      <c r="L903">
        <v>1</v>
      </c>
      <c r="M903" t="s">
        <v>90</v>
      </c>
      <c r="N903" t="s">
        <v>91</v>
      </c>
      <c r="O903" t="s">
        <v>92</v>
      </c>
      <c r="S903" t="s">
        <v>108</v>
      </c>
      <c r="T903" t="s">
        <v>102</v>
      </c>
      <c r="U903" t="s">
        <v>248</v>
      </c>
    </row>
    <row r="904" spans="1:21" x14ac:dyDescent="0.3">
      <c r="A904" t="s">
        <v>2083</v>
      </c>
      <c r="B904" s="6" t="str">
        <f>HYPERLINK("http://data.ntsb.gov/carol-repgen/api/Aviation/ReportMain/GenerateNewestReport/100227/pdf","AccidentReport")</f>
        <v>AccidentReport</v>
      </c>
      <c r="C904" t="s">
        <v>2073</v>
      </c>
      <c r="D904" t="s">
        <v>2084</v>
      </c>
      <c r="E904" t="s">
        <v>154</v>
      </c>
      <c r="F904" t="s">
        <v>88</v>
      </c>
      <c r="G904">
        <v>34.400001000000003</v>
      </c>
      <c r="H904">
        <v>-100.88722199999999</v>
      </c>
      <c r="K904" t="s">
        <v>155</v>
      </c>
      <c r="L904">
        <v>1</v>
      </c>
      <c r="M904" t="s">
        <v>90</v>
      </c>
      <c r="N904" t="s">
        <v>91</v>
      </c>
      <c r="O904" t="s">
        <v>92</v>
      </c>
      <c r="S904" t="s">
        <v>108</v>
      </c>
      <c r="T904" t="s">
        <v>102</v>
      </c>
      <c r="U904" t="s">
        <v>103</v>
      </c>
    </row>
    <row r="905" spans="1:21" x14ac:dyDescent="0.3">
      <c r="A905" t="s">
        <v>2085</v>
      </c>
      <c r="B905" s="6" t="str">
        <f>HYPERLINK("http://data.ntsb.gov/carol-repgen/api/Aviation/ReportMain/GenerateNewestReport/100207/pdf","AccidentReport")</f>
        <v>AccidentReport</v>
      </c>
      <c r="C905" t="s">
        <v>2073</v>
      </c>
      <c r="D905" t="s">
        <v>2086</v>
      </c>
      <c r="E905" t="s">
        <v>290</v>
      </c>
      <c r="F905" t="s">
        <v>88</v>
      </c>
      <c r="G905">
        <v>35.971389000000002</v>
      </c>
      <c r="H905">
        <v>-115.133888</v>
      </c>
      <c r="I905">
        <v>2</v>
      </c>
      <c r="J905">
        <v>2</v>
      </c>
      <c r="K905" t="s">
        <v>107</v>
      </c>
      <c r="L905">
        <v>1</v>
      </c>
      <c r="M905" t="s">
        <v>147</v>
      </c>
      <c r="N905" t="s">
        <v>91</v>
      </c>
      <c r="O905" t="s">
        <v>92</v>
      </c>
      <c r="S905" t="s">
        <v>93</v>
      </c>
      <c r="T905" t="s">
        <v>102</v>
      </c>
      <c r="U905" t="s">
        <v>150</v>
      </c>
    </row>
    <row r="906" spans="1:21" x14ac:dyDescent="0.3">
      <c r="A906" t="s">
        <v>2087</v>
      </c>
      <c r="B906" s="6" t="str">
        <f>HYPERLINK("http://data.ntsb.gov/carol-repgen/api/Aviation/ReportMain/GenerateNewestReport/100213/pdf","AccidentReport")</f>
        <v>AccidentReport</v>
      </c>
      <c r="C906" t="s">
        <v>2088</v>
      </c>
      <c r="D906" t="s">
        <v>2089</v>
      </c>
      <c r="E906" t="s">
        <v>180</v>
      </c>
      <c r="F906" t="s">
        <v>88</v>
      </c>
      <c r="G906">
        <v>43.039442999999999</v>
      </c>
      <c r="H906">
        <v>-100.80555</v>
      </c>
      <c r="I906">
        <v>2</v>
      </c>
      <c r="K906" t="s">
        <v>107</v>
      </c>
      <c r="L906">
        <v>1</v>
      </c>
      <c r="M906" t="s">
        <v>90</v>
      </c>
      <c r="N906" t="s">
        <v>91</v>
      </c>
      <c r="O906" t="s">
        <v>92</v>
      </c>
      <c r="S906" t="s">
        <v>101</v>
      </c>
      <c r="T906" t="s">
        <v>102</v>
      </c>
      <c r="U906" t="s">
        <v>186</v>
      </c>
    </row>
    <row r="907" spans="1:21" x14ac:dyDescent="0.3">
      <c r="A907" t="s">
        <v>2090</v>
      </c>
      <c r="B907" s="6" t="str">
        <f>HYPERLINK("http://data.ntsb.gov/carol-repgen/api/Aviation/ReportMain/GenerateNewestReport/100208/pdf","AccidentReport")</f>
        <v>AccidentReport</v>
      </c>
      <c r="C907" t="s">
        <v>2088</v>
      </c>
      <c r="D907" t="s">
        <v>2091</v>
      </c>
      <c r="E907" t="s">
        <v>98</v>
      </c>
      <c r="F907" t="s">
        <v>88</v>
      </c>
      <c r="G907">
        <v>24.732500000000002</v>
      </c>
      <c r="H907">
        <v>-81.069998999999996</v>
      </c>
      <c r="I907">
        <v>2</v>
      </c>
      <c r="K907" t="s">
        <v>107</v>
      </c>
      <c r="L907">
        <v>1</v>
      </c>
      <c r="M907" t="s">
        <v>90</v>
      </c>
      <c r="N907" t="s">
        <v>91</v>
      </c>
      <c r="O907" t="s">
        <v>92</v>
      </c>
      <c r="S907" t="s">
        <v>108</v>
      </c>
      <c r="T907" t="s">
        <v>442</v>
      </c>
      <c r="U907" t="s">
        <v>150</v>
      </c>
    </row>
    <row r="908" spans="1:21" x14ac:dyDescent="0.3">
      <c r="A908" t="s">
        <v>2092</v>
      </c>
      <c r="B908" s="6" t="str">
        <f>HYPERLINK("http://data.ntsb.gov/carol-repgen/api/Aviation/ReportMain/GenerateNewestReport/100212/pdf","AccidentReport")</f>
        <v>AccidentReport</v>
      </c>
      <c r="C908" t="s">
        <v>2088</v>
      </c>
      <c r="D908" t="s">
        <v>2093</v>
      </c>
      <c r="E908" t="s">
        <v>536</v>
      </c>
      <c r="F908" t="s">
        <v>88</v>
      </c>
      <c r="G908">
        <v>38.319983999999998</v>
      </c>
      <c r="H908">
        <v>-75.209723999999994</v>
      </c>
      <c r="K908" t="s">
        <v>89</v>
      </c>
      <c r="L908">
        <v>1</v>
      </c>
      <c r="M908" t="s">
        <v>90</v>
      </c>
      <c r="N908" t="s">
        <v>91</v>
      </c>
      <c r="O908" t="s">
        <v>169</v>
      </c>
      <c r="S908" t="s">
        <v>515</v>
      </c>
      <c r="T908" t="s">
        <v>159</v>
      </c>
      <c r="U908" t="s">
        <v>103</v>
      </c>
    </row>
    <row r="909" spans="1:21" x14ac:dyDescent="0.3">
      <c r="A909" t="s">
        <v>2094</v>
      </c>
      <c r="B909" s="6" t="str">
        <f>HYPERLINK("http://data.ntsb.gov/carol-repgen/api/Aviation/ReportMain/GenerateNewestReport/100236/pdf","AccidentReport")</f>
        <v>AccidentReport</v>
      </c>
      <c r="C909" t="s">
        <v>2088</v>
      </c>
      <c r="D909" t="s">
        <v>2095</v>
      </c>
      <c r="E909" t="s">
        <v>251</v>
      </c>
      <c r="F909" t="s">
        <v>88</v>
      </c>
      <c r="G909">
        <v>45.146388999999999</v>
      </c>
      <c r="H909">
        <v>-118.293334</v>
      </c>
      <c r="I909">
        <v>1</v>
      </c>
      <c r="K909" t="s">
        <v>107</v>
      </c>
      <c r="L909">
        <v>1</v>
      </c>
      <c r="M909" t="s">
        <v>147</v>
      </c>
      <c r="N909" t="s">
        <v>91</v>
      </c>
      <c r="O909" t="s">
        <v>92</v>
      </c>
      <c r="S909" t="s">
        <v>108</v>
      </c>
      <c r="T909" t="s">
        <v>279</v>
      </c>
      <c r="U909" t="s">
        <v>186</v>
      </c>
    </row>
    <row r="910" spans="1:21" x14ac:dyDescent="0.3">
      <c r="A910" t="s">
        <v>2096</v>
      </c>
      <c r="B910" s="6" t="str">
        <f>HYPERLINK("http://data.ntsb.gov/carol-repgen/api/Aviation/ReportMain/GenerateNewestReport/100214/pdf","AccidentReport")</f>
        <v>AccidentReport</v>
      </c>
      <c r="C910" t="s">
        <v>2097</v>
      </c>
      <c r="D910" t="s">
        <v>2098</v>
      </c>
      <c r="E910" t="s">
        <v>138</v>
      </c>
      <c r="F910" t="s">
        <v>88</v>
      </c>
      <c r="G910">
        <v>43.405555</v>
      </c>
      <c r="H910">
        <v>-86.335555999999997</v>
      </c>
      <c r="I910">
        <v>1</v>
      </c>
      <c r="K910" t="s">
        <v>107</v>
      </c>
      <c r="L910">
        <v>1</v>
      </c>
      <c r="M910" t="s">
        <v>147</v>
      </c>
      <c r="N910" t="s">
        <v>91</v>
      </c>
      <c r="O910" t="s">
        <v>92</v>
      </c>
      <c r="S910" t="s">
        <v>108</v>
      </c>
      <c r="T910" t="s">
        <v>332</v>
      </c>
      <c r="U910" t="s">
        <v>186</v>
      </c>
    </row>
    <row r="911" spans="1:21" x14ac:dyDescent="0.3">
      <c r="A911" t="s">
        <v>2099</v>
      </c>
      <c r="B911" s="6" t="str">
        <f>HYPERLINK("http://data.ntsb.gov/carol-repgen/api/Aviation/ReportMain/GenerateNewestReport/100216/pdf","AccidentReport")</f>
        <v>AccidentReport</v>
      </c>
      <c r="C911" t="s">
        <v>2097</v>
      </c>
      <c r="D911" t="s">
        <v>2100</v>
      </c>
      <c r="E911" t="s">
        <v>349</v>
      </c>
      <c r="F911" t="s">
        <v>88</v>
      </c>
      <c r="G911">
        <v>41.505001</v>
      </c>
      <c r="H911">
        <v>-86.515556000000004</v>
      </c>
      <c r="K911" t="s">
        <v>89</v>
      </c>
      <c r="L911">
        <v>1</v>
      </c>
      <c r="M911" t="s">
        <v>90</v>
      </c>
      <c r="N911" t="s">
        <v>100</v>
      </c>
      <c r="O911" t="s">
        <v>169</v>
      </c>
      <c r="S911" t="s">
        <v>515</v>
      </c>
      <c r="T911" t="s">
        <v>159</v>
      </c>
      <c r="U911" t="s">
        <v>103</v>
      </c>
    </row>
    <row r="912" spans="1:21" x14ac:dyDescent="0.3">
      <c r="A912" t="s">
        <v>2101</v>
      </c>
      <c r="B912" s="6" t="str">
        <f>HYPERLINK("http://data.ntsb.gov/carol-repgen/api/Aviation/ReportMain/GenerateNewestReport/100394/pdf","AccidentReport")</f>
        <v>AccidentReport</v>
      </c>
      <c r="C912" t="s">
        <v>2097</v>
      </c>
      <c r="D912" t="s">
        <v>2102</v>
      </c>
      <c r="E912" t="s">
        <v>98</v>
      </c>
      <c r="F912" t="s">
        <v>88</v>
      </c>
      <c r="G912">
        <v>29.844722000000001</v>
      </c>
      <c r="H912">
        <v>-82.047499999999999</v>
      </c>
      <c r="K912" t="s">
        <v>89</v>
      </c>
      <c r="L912">
        <v>1</v>
      </c>
      <c r="M912" t="s">
        <v>90</v>
      </c>
      <c r="N912" t="s">
        <v>91</v>
      </c>
      <c r="O912" t="s">
        <v>92</v>
      </c>
      <c r="S912" t="s">
        <v>108</v>
      </c>
      <c r="T912" t="s">
        <v>442</v>
      </c>
      <c r="U912" t="s">
        <v>221</v>
      </c>
    </row>
    <row r="913" spans="1:21" x14ac:dyDescent="0.3">
      <c r="A913" t="s">
        <v>2103</v>
      </c>
      <c r="B913" s="6" t="str">
        <f>HYPERLINK("http://data.ntsb.gov/carol-repgen/api/Aviation/ReportMain/GenerateNewestReport/100288/pdf","AccidentReport")</f>
        <v>AccidentReport</v>
      </c>
      <c r="C913" t="s">
        <v>2097</v>
      </c>
      <c r="D913" t="s">
        <v>289</v>
      </c>
      <c r="E913" t="s">
        <v>290</v>
      </c>
      <c r="F913" t="s">
        <v>88</v>
      </c>
      <c r="G913">
        <v>39.667498999999999</v>
      </c>
      <c r="H913">
        <v>-119.872497</v>
      </c>
      <c r="K913" t="s">
        <v>155</v>
      </c>
      <c r="L913">
        <v>1</v>
      </c>
      <c r="M913" t="s">
        <v>90</v>
      </c>
      <c r="N913" t="s">
        <v>91</v>
      </c>
      <c r="O913" t="s">
        <v>92</v>
      </c>
      <c r="S913" t="s">
        <v>108</v>
      </c>
      <c r="T913" t="s">
        <v>139</v>
      </c>
      <c r="U913" t="s">
        <v>103</v>
      </c>
    </row>
    <row r="914" spans="1:21" x14ac:dyDescent="0.3">
      <c r="A914" t="s">
        <v>2104</v>
      </c>
      <c r="B914" s="6" t="str">
        <f>HYPERLINK("http://data.ntsb.gov/carol-repgen/api/Aviation/ReportMain/GenerateNewestReport/100230/pdf","AccidentReport")</f>
        <v>AccidentReport</v>
      </c>
      <c r="C914" t="s">
        <v>2105</v>
      </c>
      <c r="D914" t="s">
        <v>2106</v>
      </c>
      <c r="E914" t="s">
        <v>479</v>
      </c>
      <c r="F914" t="s">
        <v>88</v>
      </c>
      <c r="G914">
        <v>47.378611999999997</v>
      </c>
      <c r="H914">
        <v>-103.589721</v>
      </c>
      <c r="I914">
        <v>0</v>
      </c>
      <c r="J914">
        <v>1</v>
      </c>
      <c r="K914" t="s">
        <v>99</v>
      </c>
      <c r="L914">
        <v>1</v>
      </c>
      <c r="M914" t="s">
        <v>90</v>
      </c>
      <c r="N914" t="s">
        <v>91</v>
      </c>
      <c r="O914" t="s">
        <v>92</v>
      </c>
      <c r="S914" t="s">
        <v>108</v>
      </c>
      <c r="T914" t="s">
        <v>118</v>
      </c>
      <c r="U914" t="s">
        <v>150</v>
      </c>
    </row>
    <row r="915" spans="1:21" x14ac:dyDescent="0.3">
      <c r="A915" t="s">
        <v>2107</v>
      </c>
      <c r="B915" s="6" t="str">
        <f>HYPERLINK("http://data.ntsb.gov/carol-repgen/api/Aviation/ReportMain/GenerateNewestReport/100294/pdf","AccidentReport")</f>
        <v>AccidentReport</v>
      </c>
      <c r="C915" t="s">
        <v>2105</v>
      </c>
      <c r="D915" t="s">
        <v>1367</v>
      </c>
      <c r="E915" t="s">
        <v>98</v>
      </c>
      <c r="F915" t="s">
        <v>88</v>
      </c>
      <c r="G915">
        <v>30.358332999999998</v>
      </c>
      <c r="H915">
        <v>-85.795554999999993</v>
      </c>
      <c r="K915" t="s">
        <v>89</v>
      </c>
      <c r="L915">
        <v>1</v>
      </c>
      <c r="M915" t="s">
        <v>90</v>
      </c>
      <c r="N915" t="s">
        <v>91</v>
      </c>
      <c r="O915" t="s">
        <v>92</v>
      </c>
      <c r="S915" t="s">
        <v>93</v>
      </c>
      <c r="T915" t="s">
        <v>118</v>
      </c>
      <c r="U915" t="s">
        <v>119</v>
      </c>
    </row>
    <row r="916" spans="1:21" x14ac:dyDescent="0.3">
      <c r="A916" t="s">
        <v>2108</v>
      </c>
      <c r="B916" s="6" t="str">
        <f>HYPERLINK("http://data.ntsb.gov/carol-repgen/api/Aviation/ReportMain/GenerateNewestReport/100228/pdf","AccidentReport")</f>
        <v>AccidentReport</v>
      </c>
      <c r="C916" t="s">
        <v>2105</v>
      </c>
      <c r="D916" t="s">
        <v>2109</v>
      </c>
      <c r="E916" t="s">
        <v>125</v>
      </c>
      <c r="F916" t="s">
        <v>88</v>
      </c>
      <c r="G916">
        <v>32.990554000000003</v>
      </c>
      <c r="H916">
        <v>-111.917221</v>
      </c>
      <c r="J916">
        <v>2</v>
      </c>
      <c r="K916" t="s">
        <v>99</v>
      </c>
      <c r="L916">
        <v>1</v>
      </c>
      <c r="M916" t="s">
        <v>90</v>
      </c>
      <c r="N916" t="s">
        <v>91</v>
      </c>
      <c r="O916" t="s">
        <v>92</v>
      </c>
      <c r="S916" t="s">
        <v>93</v>
      </c>
      <c r="T916" t="s">
        <v>229</v>
      </c>
      <c r="U916" t="s">
        <v>248</v>
      </c>
    </row>
    <row r="917" spans="1:21" x14ac:dyDescent="0.3">
      <c r="A917" t="s">
        <v>2110</v>
      </c>
      <c r="B917" s="6" t="str">
        <f>HYPERLINK("http://data.ntsb.gov/carol-repgen/api/Aviation/ReportMain/GenerateNewestReport/100234/pdf","AccidentReport")</f>
        <v>AccidentReport</v>
      </c>
      <c r="C917" t="s">
        <v>2111</v>
      </c>
      <c r="D917" t="s">
        <v>2112</v>
      </c>
      <c r="E917" t="s">
        <v>131</v>
      </c>
      <c r="F917" t="s">
        <v>88</v>
      </c>
      <c r="G917">
        <v>38.805830999999998</v>
      </c>
      <c r="H917">
        <v>-104.700836</v>
      </c>
      <c r="K917" t="s">
        <v>89</v>
      </c>
      <c r="L917">
        <v>1</v>
      </c>
      <c r="M917" t="s">
        <v>90</v>
      </c>
      <c r="N917" t="s">
        <v>91</v>
      </c>
      <c r="O917" t="s">
        <v>92</v>
      </c>
      <c r="S917" t="s">
        <v>108</v>
      </c>
      <c r="T917" t="s">
        <v>587</v>
      </c>
      <c r="U917" t="s">
        <v>221</v>
      </c>
    </row>
    <row r="918" spans="1:21" x14ac:dyDescent="0.3">
      <c r="A918" t="s">
        <v>2113</v>
      </c>
      <c r="B918" s="6" t="str">
        <f>HYPERLINK("http://data.ntsb.gov/carol-repgen/api/Aviation/ReportMain/GenerateNewestReport/100242/pdf","AccidentReport")</f>
        <v>AccidentReport</v>
      </c>
      <c r="C918" t="s">
        <v>2111</v>
      </c>
      <c r="D918" t="s">
        <v>185</v>
      </c>
      <c r="E918" t="s">
        <v>399</v>
      </c>
      <c r="F918" t="s">
        <v>88</v>
      </c>
      <c r="G918">
        <v>37.669165999999997</v>
      </c>
      <c r="H918">
        <v>-98.123885999999999</v>
      </c>
      <c r="K918" t="s">
        <v>89</v>
      </c>
      <c r="L918">
        <v>1</v>
      </c>
      <c r="M918" t="s">
        <v>90</v>
      </c>
      <c r="N918" t="s">
        <v>91</v>
      </c>
      <c r="O918" t="s">
        <v>92</v>
      </c>
      <c r="S918" t="s">
        <v>108</v>
      </c>
      <c r="T918" t="s">
        <v>109</v>
      </c>
      <c r="U918" t="s">
        <v>95</v>
      </c>
    </row>
    <row r="919" spans="1:21" x14ac:dyDescent="0.3">
      <c r="A919" t="s">
        <v>2114</v>
      </c>
      <c r="B919" s="6" t="str">
        <f>HYPERLINK("http://data.ntsb.gov/carol-repgen/api/Aviation/ReportMain/GenerateNewestReport/100245/pdf","AccidentReport")</f>
        <v>AccidentReport</v>
      </c>
      <c r="C919" t="s">
        <v>2111</v>
      </c>
      <c r="D919" t="s">
        <v>2115</v>
      </c>
      <c r="E919" t="s">
        <v>98</v>
      </c>
      <c r="F919" t="s">
        <v>88</v>
      </c>
      <c r="G919">
        <v>26.378609999999998</v>
      </c>
      <c r="H919">
        <v>-80.108328999999998</v>
      </c>
      <c r="J919">
        <v>1</v>
      </c>
      <c r="K919" t="s">
        <v>99</v>
      </c>
      <c r="L919">
        <v>1</v>
      </c>
      <c r="M919" t="s">
        <v>147</v>
      </c>
      <c r="N919" t="s">
        <v>91</v>
      </c>
      <c r="O919" t="s">
        <v>92</v>
      </c>
      <c r="S919" t="s">
        <v>108</v>
      </c>
      <c r="T919" t="s">
        <v>159</v>
      </c>
      <c r="U919" t="s">
        <v>150</v>
      </c>
    </row>
    <row r="920" spans="1:21" x14ac:dyDescent="0.3">
      <c r="A920" t="s">
        <v>2116</v>
      </c>
      <c r="B920" s="6" t="str">
        <f>HYPERLINK("http://data.ntsb.gov/carol-repgen/api/Aviation/ReportMain/GenerateNewestReport/100231/pdf","AccidentReport")</f>
        <v>AccidentReport</v>
      </c>
      <c r="C920" t="s">
        <v>2111</v>
      </c>
      <c r="D920" t="s">
        <v>2117</v>
      </c>
      <c r="E920" t="s">
        <v>142</v>
      </c>
      <c r="F920" t="s">
        <v>88</v>
      </c>
      <c r="G920">
        <v>41.596389000000002</v>
      </c>
      <c r="H920">
        <v>-83.783889000000002</v>
      </c>
      <c r="I920">
        <v>2</v>
      </c>
      <c r="K920" t="s">
        <v>107</v>
      </c>
      <c r="L920">
        <v>1</v>
      </c>
      <c r="M920" t="s">
        <v>147</v>
      </c>
      <c r="N920" t="s">
        <v>91</v>
      </c>
      <c r="O920" t="s">
        <v>2118</v>
      </c>
      <c r="P920" t="s">
        <v>234</v>
      </c>
      <c r="Q920" t="s">
        <v>577</v>
      </c>
      <c r="R920" t="s">
        <v>2119</v>
      </c>
      <c r="T920" t="s">
        <v>381</v>
      </c>
      <c r="U920" t="s">
        <v>119</v>
      </c>
    </row>
    <row r="921" spans="1:21" x14ac:dyDescent="0.3">
      <c r="A921" t="s">
        <v>2120</v>
      </c>
      <c r="B921" s="6" t="str">
        <f>HYPERLINK("http://data.ntsb.gov/carol-repgen/api/Aviation/ReportMain/GenerateNewestReport/100240/pdf","AccidentReport")</f>
        <v>AccidentReport</v>
      </c>
      <c r="C921" t="s">
        <v>2111</v>
      </c>
      <c r="D921" t="s">
        <v>2121</v>
      </c>
      <c r="E921" t="s">
        <v>98</v>
      </c>
      <c r="F921" t="s">
        <v>88</v>
      </c>
      <c r="G921">
        <v>29.959167000000001</v>
      </c>
      <c r="H921">
        <v>-81.339720999999997</v>
      </c>
      <c r="K921" t="s">
        <v>155</v>
      </c>
      <c r="L921">
        <v>1</v>
      </c>
      <c r="M921" t="s">
        <v>90</v>
      </c>
      <c r="N921" t="s">
        <v>91</v>
      </c>
      <c r="O921" t="s">
        <v>92</v>
      </c>
      <c r="S921" t="s">
        <v>108</v>
      </c>
      <c r="T921" t="s">
        <v>247</v>
      </c>
      <c r="U921" t="s">
        <v>95</v>
      </c>
    </row>
    <row r="922" spans="1:21" x14ac:dyDescent="0.3">
      <c r="A922" t="s">
        <v>2122</v>
      </c>
      <c r="B922" s="6" t="str">
        <f>HYPERLINK("http://data.ntsb.gov/carol-repgen/api/Aviation/ReportMain/GenerateNewestReport/100363/pdf","AccidentReport")</f>
        <v>AccidentReport</v>
      </c>
      <c r="C922" t="s">
        <v>2111</v>
      </c>
      <c r="D922" t="s">
        <v>594</v>
      </c>
      <c r="E922" t="s">
        <v>98</v>
      </c>
      <c r="F922" t="s">
        <v>88</v>
      </c>
      <c r="G922">
        <v>25.998332000000001</v>
      </c>
      <c r="H922">
        <v>-80.240836999999999</v>
      </c>
      <c r="K922" t="s">
        <v>89</v>
      </c>
      <c r="L922">
        <v>1</v>
      </c>
      <c r="M922" t="s">
        <v>90</v>
      </c>
      <c r="N922" t="s">
        <v>91</v>
      </c>
      <c r="O922" t="s">
        <v>92</v>
      </c>
      <c r="S922" t="s">
        <v>93</v>
      </c>
      <c r="T922" t="s">
        <v>109</v>
      </c>
      <c r="U922" t="s">
        <v>95</v>
      </c>
    </row>
    <row r="923" spans="1:21" x14ac:dyDescent="0.3">
      <c r="A923" t="s">
        <v>2123</v>
      </c>
      <c r="B923" s="6" t="str">
        <f>HYPERLINK("http://data.ntsb.gov/carol-repgen/api/Aviation/ReportMain/GenerateNewestReport/100633/pdf","AccidentReport")</f>
        <v>AccidentReport</v>
      </c>
      <c r="C923" t="s">
        <v>2111</v>
      </c>
      <c r="D923" t="s">
        <v>289</v>
      </c>
      <c r="E923" t="s">
        <v>290</v>
      </c>
      <c r="F923" t="s">
        <v>88</v>
      </c>
      <c r="G923">
        <v>39.668056</v>
      </c>
      <c r="H923">
        <v>-119.87638800000001</v>
      </c>
      <c r="K923" t="s">
        <v>89</v>
      </c>
      <c r="L923">
        <v>1</v>
      </c>
      <c r="M923" t="s">
        <v>90</v>
      </c>
      <c r="N923" t="s">
        <v>91</v>
      </c>
      <c r="O923" t="s">
        <v>92</v>
      </c>
      <c r="S923" t="s">
        <v>2124</v>
      </c>
      <c r="T923" t="s">
        <v>94</v>
      </c>
      <c r="U923" t="s">
        <v>95</v>
      </c>
    </row>
    <row r="924" spans="1:21" x14ac:dyDescent="0.3">
      <c r="A924" t="s">
        <v>2125</v>
      </c>
      <c r="B924" s="6" t="str">
        <f>HYPERLINK("http://data.ntsb.gov/carol-repgen/api/Aviation/ReportMain/GenerateNewestReport/100235/pdf","AccidentReport")</f>
        <v>AccidentReport</v>
      </c>
      <c r="C924" t="s">
        <v>2111</v>
      </c>
      <c r="D924" t="s">
        <v>2126</v>
      </c>
      <c r="E924" t="s">
        <v>106</v>
      </c>
      <c r="F924" t="s">
        <v>88</v>
      </c>
      <c r="G924">
        <v>34.123888999999998</v>
      </c>
      <c r="H924">
        <v>-117.898612</v>
      </c>
      <c r="K924" t="s">
        <v>89</v>
      </c>
      <c r="L924">
        <v>1</v>
      </c>
      <c r="M924" t="s">
        <v>90</v>
      </c>
      <c r="N924" t="s">
        <v>100</v>
      </c>
      <c r="O924" t="s">
        <v>92</v>
      </c>
      <c r="S924" t="s">
        <v>166</v>
      </c>
      <c r="T924" t="s">
        <v>139</v>
      </c>
      <c r="U924" t="s">
        <v>186</v>
      </c>
    </row>
    <row r="925" spans="1:21" x14ac:dyDescent="0.3">
      <c r="A925" t="s">
        <v>2127</v>
      </c>
      <c r="B925" s="6" t="str">
        <f>HYPERLINK("http://data.ntsb.gov/carol-repgen/api/Aviation/ReportMain/GenerateNewestReport/100244/pdf","AccidentReport")</f>
        <v>AccidentReport</v>
      </c>
      <c r="C925" t="s">
        <v>2128</v>
      </c>
      <c r="D925" t="s">
        <v>2129</v>
      </c>
      <c r="E925" t="s">
        <v>154</v>
      </c>
      <c r="F925" t="s">
        <v>88</v>
      </c>
      <c r="G925">
        <v>32.276668000000001</v>
      </c>
      <c r="H925">
        <v>-96.006668000000005</v>
      </c>
      <c r="I925">
        <v>1</v>
      </c>
      <c r="K925" t="s">
        <v>107</v>
      </c>
      <c r="L925">
        <v>1</v>
      </c>
      <c r="M925" t="s">
        <v>90</v>
      </c>
      <c r="N925" t="s">
        <v>748</v>
      </c>
      <c r="O925" t="s">
        <v>92</v>
      </c>
      <c r="S925" t="s">
        <v>108</v>
      </c>
      <c r="T925" t="s">
        <v>332</v>
      </c>
      <c r="U925" t="s">
        <v>186</v>
      </c>
    </row>
    <row r="926" spans="1:21" x14ac:dyDescent="0.3">
      <c r="A926" t="s">
        <v>2130</v>
      </c>
      <c r="B926" s="6" t="str">
        <f>HYPERLINK("http://data.ntsb.gov/carol-repgen/api/Aviation/ReportMain/GenerateNewestReport/100248/pdf","AccidentReport")</f>
        <v>AccidentReport</v>
      </c>
      <c r="C926" t="s">
        <v>2128</v>
      </c>
      <c r="D926" t="s">
        <v>2131</v>
      </c>
      <c r="E926" t="s">
        <v>180</v>
      </c>
      <c r="F926" t="s">
        <v>88</v>
      </c>
      <c r="G926">
        <v>43.932498000000002</v>
      </c>
      <c r="H926">
        <v>-103.58360999999999</v>
      </c>
      <c r="K926" t="s">
        <v>89</v>
      </c>
      <c r="L926">
        <v>1</v>
      </c>
      <c r="M926" t="s">
        <v>90</v>
      </c>
      <c r="N926" t="s">
        <v>100</v>
      </c>
      <c r="O926" t="s">
        <v>92</v>
      </c>
      <c r="S926" t="s">
        <v>108</v>
      </c>
      <c r="T926" t="s">
        <v>159</v>
      </c>
      <c r="U926" t="s">
        <v>103</v>
      </c>
    </row>
    <row r="927" spans="1:21" x14ac:dyDescent="0.3">
      <c r="A927" t="s">
        <v>2132</v>
      </c>
      <c r="B927" s="6" t="str">
        <f>HYPERLINK("http://data.ntsb.gov/carol-repgen/api/Aviation/ReportMain/GenerateNewestReport/100246/pdf","AccidentReport")</f>
        <v>AccidentReport</v>
      </c>
      <c r="C927" t="s">
        <v>2128</v>
      </c>
      <c r="D927" t="s">
        <v>1103</v>
      </c>
      <c r="E927" t="s">
        <v>536</v>
      </c>
      <c r="F927" t="s">
        <v>88</v>
      </c>
      <c r="G927">
        <v>38.944999000000003</v>
      </c>
      <c r="H927">
        <v>-76.773330000000001</v>
      </c>
      <c r="K927" t="s">
        <v>155</v>
      </c>
      <c r="L927">
        <v>1</v>
      </c>
      <c r="M927" t="s">
        <v>90</v>
      </c>
      <c r="N927" t="s">
        <v>91</v>
      </c>
      <c r="O927" t="s">
        <v>92</v>
      </c>
      <c r="S927" t="s">
        <v>108</v>
      </c>
      <c r="T927" t="s">
        <v>411</v>
      </c>
      <c r="U927" t="s">
        <v>248</v>
      </c>
    </row>
    <row r="928" spans="1:21" x14ac:dyDescent="0.3">
      <c r="A928" t="s">
        <v>2133</v>
      </c>
      <c r="B928" s="6" t="str">
        <f>HYPERLINK("http://data.ntsb.gov/carol-repgen/api/Aviation/ReportMain/GenerateNewestReport/100316/pdf","AccidentReport")</f>
        <v>AccidentReport</v>
      </c>
      <c r="C928" t="s">
        <v>2128</v>
      </c>
      <c r="D928" t="s">
        <v>2134</v>
      </c>
      <c r="F928" t="s">
        <v>88</v>
      </c>
      <c r="G928">
        <v>18.337499000000001</v>
      </c>
      <c r="H928">
        <v>-64.967224000000002</v>
      </c>
      <c r="I928">
        <v>0</v>
      </c>
      <c r="J928">
        <v>0</v>
      </c>
      <c r="K928" t="s">
        <v>89</v>
      </c>
      <c r="L928">
        <v>1</v>
      </c>
      <c r="M928" t="s">
        <v>90</v>
      </c>
      <c r="N928" t="s">
        <v>91</v>
      </c>
      <c r="O928" t="s">
        <v>92</v>
      </c>
      <c r="S928" t="s">
        <v>108</v>
      </c>
      <c r="T928" t="s">
        <v>109</v>
      </c>
      <c r="U928" t="s">
        <v>221</v>
      </c>
    </row>
    <row r="929" spans="1:21" x14ac:dyDescent="0.3">
      <c r="A929" t="s">
        <v>2135</v>
      </c>
      <c r="B929" s="6" t="str">
        <f>HYPERLINK("http://data.ntsb.gov/carol-repgen/api/Aviation/ReportMain/GenerateNewestReport/100256/pdf","AccidentReport")</f>
        <v>AccidentReport</v>
      </c>
      <c r="C929" t="s">
        <v>2128</v>
      </c>
      <c r="D929" t="s">
        <v>1264</v>
      </c>
      <c r="E929" t="s">
        <v>125</v>
      </c>
      <c r="F929" t="s">
        <v>88</v>
      </c>
      <c r="G929">
        <v>33.688330999999998</v>
      </c>
      <c r="H929">
        <v>-112.08249600000001</v>
      </c>
      <c r="K929" t="s">
        <v>89</v>
      </c>
      <c r="L929">
        <v>1</v>
      </c>
      <c r="M929" t="s">
        <v>90</v>
      </c>
      <c r="N929" t="s">
        <v>91</v>
      </c>
      <c r="O929" t="s">
        <v>92</v>
      </c>
      <c r="S929" t="s">
        <v>93</v>
      </c>
      <c r="T929" t="s">
        <v>94</v>
      </c>
      <c r="U929" t="s">
        <v>248</v>
      </c>
    </row>
    <row r="930" spans="1:21" x14ac:dyDescent="0.3">
      <c r="A930" t="s">
        <v>2136</v>
      </c>
      <c r="B930" s="6" t="str">
        <f>HYPERLINK("http://data.ntsb.gov/carol-repgen/api/Aviation/ReportMain/GenerateNewestReport/100257/pdf","AccidentReport")</f>
        <v>AccidentReport</v>
      </c>
      <c r="C930" t="s">
        <v>2128</v>
      </c>
      <c r="D930" t="s">
        <v>2137</v>
      </c>
      <c r="E930" t="s">
        <v>146</v>
      </c>
      <c r="F930" t="s">
        <v>88</v>
      </c>
      <c r="G930">
        <v>35.20111</v>
      </c>
      <c r="H930">
        <v>-90.053886000000006</v>
      </c>
      <c r="K930" t="s">
        <v>89</v>
      </c>
      <c r="L930">
        <v>1</v>
      </c>
      <c r="M930" t="s">
        <v>90</v>
      </c>
      <c r="N930" t="s">
        <v>91</v>
      </c>
      <c r="O930" t="s">
        <v>92</v>
      </c>
      <c r="S930" t="s">
        <v>93</v>
      </c>
      <c r="T930" t="s">
        <v>94</v>
      </c>
      <c r="U930" t="s">
        <v>95</v>
      </c>
    </row>
    <row r="931" spans="1:21" x14ac:dyDescent="0.3">
      <c r="A931" t="s">
        <v>2138</v>
      </c>
      <c r="B931" s="6" t="str">
        <f>HYPERLINK("http://data.ntsb.gov/carol-repgen/api/Aviation/ReportMain/GenerateNewestReport/100258/pdf","AccidentReport")</f>
        <v>AccidentReport</v>
      </c>
      <c r="C931" t="s">
        <v>2128</v>
      </c>
      <c r="D931" t="s">
        <v>1218</v>
      </c>
      <c r="E931" t="s">
        <v>106</v>
      </c>
      <c r="F931" t="s">
        <v>88</v>
      </c>
      <c r="G931">
        <v>33.727778999999998</v>
      </c>
      <c r="H931">
        <v>-117.03055500000001</v>
      </c>
      <c r="K931" t="s">
        <v>89</v>
      </c>
      <c r="L931">
        <v>1</v>
      </c>
      <c r="M931" t="s">
        <v>90</v>
      </c>
      <c r="N931" t="s">
        <v>91</v>
      </c>
      <c r="O931" t="s">
        <v>295</v>
      </c>
      <c r="S931" t="s">
        <v>93</v>
      </c>
      <c r="T931" t="s">
        <v>109</v>
      </c>
      <c r="U931" t="s">
        <v>95</v>
      </c>
    </row>
    <row r="932" spans="1:21" x14ac:dyDescent="0.3">
      <c r="A932" t="s">
        <v>2139</v>
      </c>
      <c r="B932" s="6" t="str">
        <f>HYPERLINK("http://data.ntsb.gov/carol-repgen/api/Aviation/ReportMain/GenerateNewestReport/100249/pdf","AccidentReport")</f>
        <v>AccidentReport</v>
      </c>
      <c r="C932" t="s">
        <v>2128</v>
      </c>
      <c r="D932" t="s">
        <v>2140</v>
      </c>
      <c r="E932" t="s">
        <v>290</v>
      </c>
      <c r="F932" t="s">
        <v>88</v>
      </c>
      <c r="G932">
        <v>35.908054</v>
      </c>
      <c r="H932">
        <v>-115.434997</v>
      </c>
      <c r="J932">
        <v>3</v>
      </c>
      <c r="K932" t="s">
        <v>99</v>
      </c>
      <c r="L932">
        <v>1</v>
      </c>
      <c r="M932" t="s">
        <v>90</v>
      </c>
      <c r="N932" t="s">
        <v>670</v>
      </c>
      <c r="O932" t="s">
        <v>92</v>
      </c>
      <c r="S932" t="s">
        <v>101</v>
      </c>
      <c r="T932" t="s">
        <v>109</v>
      </c>
      <c r="U932" t="s">
        <v>95</v>
      </c>
    </row>
    <row r="933" spans="1:21" x14ac:dyDescent="0.3">
      <c r="A933" t="s">
        <v>2141</v>
      </c>
      <c r="B933" s="6" t="str">
        <f>HYPERLINK("http://data.ntsb.gov/carol-repgen/api/Aviation/ReportMain/GenerateNewestReport/100263/pdf","AccidentReport")</f>
        <v>AccidentReport</v>
      </c>
      <c r="C933" t="s">
        <v>2142</v>
      </c>
      <c r="D933" t="s">
        <v>2143</v>
      </c>
      <c r="E933" t="s">
        <v>349</v>
      </c>
      <c r="F933" t="s">
        <v>88</v>
      </c>
      <c r="G933">
        <v>40.924446000000003</v>
      </c>
      <c r="H933">
        <v>-85.017218999999997</v>
      </c>
      <c r="K933" t="s">
        <v>155</v>
      </c>
      <c r="L933">
        <v>1</v>
      </c>
      <c r="M933" t="s">
        <v>90</v>
      </c>
      <c r="N933" t="s">
        <v>91</v>
      </c>
      <c r="O933" t="s">
        <v>92</v>
      </c>
      <c r="S933" t="s">
        <v>108</v>
      </c>
      <c r="T933" t="s">
        <v>159</v>
      </c>
      <c r="U933" t="s">
        <v>186</v>
      </c>
    </row>
    <row r="934" spans="1:21" x14ac:dyDescent="0.3">
      <c r="A934" t="s">
        <v>2144</v>
      </c>
      <c r="B934" s="6" t="str">
        <f>HYPERLINK("http://data.ntsb.gov/carol-repgen/api/Aviation/ReportMain/GenerateNewestReport/100987/pdf","AccidentReport")</f>
        <v>AccidentReport</v>
      </c>
      <c r="C934" t="s">
        <v>2142</v>
      </c>
      <c r="D934" t="s">
        <v>2145</v>
      </c>
      <c r="E934" t="s">
        <v>98</v>
      </c>
      <c r="F934" t="s">
        <v>88</v>
      </c>
      <c r="G934">
        <v>27.456388</v>
      </c>
      <c r="H934">
        <v>-81.342498000000006</v>
      </c>
      <c r="K934" t="s">
        <v>89</v>
      </c>
      <c r="L934">
        <v>1</v>
      </c>
      <c r="M934" t="s">
        <v>90</v>
      </c>
      <c r="N934" t="s">
        <v>91</v>
      </c>
      <c r="O934" t="s">
        <v>92</v>
      </c>
      <c r="S934" t="s">
        <v>108</v>
      </c>
      <c r="T934" t="s">
        <v>109</v>
      </c>
      <c r="U934" t="s">
        <v>95</v>
      </c>
    </row>
    <row r="935" spans="1:21" x14ac:dyDescent="0.3">
      <c r="A935" t="s">
        <v>2146</v>
      </c>
      <c r="B935" s="6" t="str">
        <f>HYPERLINK("http://data.ntsb.gov/carol-repgen/api/Aviation/ReportMain/GenerateNewestReport/100259/pdf","AccidentReport")</f>
        <v>AccidentReport</v>
      </c>
      <c r="C935" t="s">
        <v>2142</v>
      </c>
      <c r="D935" t="s">
        <v>1390</v>
      </c>
      <c r="E935" t="s">
        <v>122</v>
      </c>
      <c r="F935" t="s">
        <v>88</v>
      </c>
      <c r="G935">
        <v>43.725555</v>
      </c>
      <c r="H935">
        <v>-116.86694300000001</v>
      </c>
      <c r="K935" t="s">
        <v>89</v>
      </c>
      <c r="L935">
        <v>1</v>
      </c>
      <c r="M935" t="s">
        <v>90</v>
      </c>
      <c r="N935" t="s">
        <v>91</v>
      </c>
      <c r="O935" t="s">
        <v>92</v>
      </c>
      <c r="S935" t="s">
        <v>108</v>
      </c>
      <c r="T935" t="s">
        <v>94</v>
      </c>
      <c r="U935" t="s">
        <v>95</v>
      </c>
    </row>
    <row r="936" spans="1:21" x14ac:dyDescent="0.3">
      <c r="A936" t="s">
        <v>2147</v>
      </c>
      <c r="B936" s="6" t="str">
        <f>HYPERLINK("http://data.ntsb.gov/carol-repgen/api/Aviation/ReportMain/GenerateNewestReport/100261/pdf","AccidentReport")</f>
        <v>AccidentReport</v>
      </c>
      <c r="C936" t="s">
        <v>2142</v>
      </c>
      <c r="D936" t="s">
        <v>2148</v>
      </c>
      <c r="E936" t="s">
        <v>125</v>
      </c>
      <c r="F936" t="s">
        <v>88</v>
      </c>
      <c r="G936">
        <v>32.403888000000002</v>
      </c>
      <c r="H936">
        <v>-111.219718</v>
      </c>
      <c r="K936" t="s">
        <v>89</v>
      </c>
      <c r="L936">
        <v>1</v>
      </c>
      <c r="M936" t="s">
        <v>90</v>
      </c>
      <c r="N936" t="s">
        <v>91</v>
      </c>
      <c r="O936" t="s">
        <v>92</v>
      </c>
      <c r="S936" t="s">
        <v>93</v>
      </c>
      <c r="T936" t="s">
        <v>587</v>
      </c>
      <c r="U936" t="s">
        <v>222</v>
      </c>
    </row>
    <row r="937" spans="1:21" x14ac:dyDescent="0.3">
      <c r="A937" t="s">
        <v>2149</v>
      </c>
      <c r="B937" s="6" t="str">
        <f>HYPERLINK("http://data.ntsb.gov/carol-repgen/api/Aviation/ReportMain/GenerateNewestReport/100313/pdf","AccidentReport")</f>
        <v>AccidentReport</v>
      </c>
      <c r="C937" t="s">
        <v>2150</v>
      </c>
      <c r="D937" t="s">
        <v>2151</v>
      </c>
      <c r="E937" t="s">
        <v>154</v>
      </c>
      <c r="F937" t="s">
        <v>88</v>
      </c>
      <c r="G937">
        <v>30.075277</v>
      </c>
      <c r="H937">
        <v>-93.695273999999998</v>
      </c>
      <c r="K937" t="s">
        <v>89</v>
      </c>
      <c r="L937">
        <v>1</v>
      </c>
      <c r="M937" t="s">
        <v>90</v>
      </c>
      <c r="N937" t="s">
        <v>91</v>
      </c>
      <c r="O937" t="s">
        <v>92</v>
      </c>
      <c r="S937" t="s">
        <v>108</v>
      </c>
      <c r="T937" t="s">
        <v>159</v>
      </c>
      <c r="U937" t="s">
        <v>186</v>
      </c>
    </row>
    <row r="938" spans="1:21" x14ac:dyDescent="0.3">
      <c r="A938" t="s">
        <v>2152</v>
      </c>
      <c r="B938" s="6" t="str">
        <f>HYPERLINK("http://data.ntsb.gov/carol-repgen/api/Aviation/ReportMain/GenerateNewestReport/100260/pdf","AccidentReport")</f>
        <v>AccidentReport</v>
      </c>
      <c r="C938" t="s">
        <v>2150</v>
      </c>
      <c r="D938" t="s">
        <v>505</v>
      </c>
      <c r="E938" t="s">
        <v>125</v>
      </c>
      <c r="F938" t="s">
        <v>88</v>
      </c>
      <c r="G938">
        <v>33.269720999999997</v>
      </c>
      <c r="H938">
        <v>-111.81416299999999</v>
      </c>
      <c r="K938" t="s">
        <v>89</v>
      </c>
      <c r="L938">
        <v>1</v>
      </c>
      <c r="M938" t="s">
        <v>90</v>
      </c>
      <c r="N938" t="s">
        <v>91</v>
      </c>
      <c r="O938" t="s">
        <v>92</v>
      </c>
      <c r="S938" t="s">
        <v>93</v>
      </c>
      <c r="T938" t="s">
        <v>102</v>
      </c>
      <c r="U938" t="s">
        <v>248</v>
      </c>
    </row>
    <row r="939" spans="1:21" x14ac:dyDescent="0.3">
      <c r="A939" t="s">
        <v>2153</v>
      </c>
      <c r="B939" s="6" t="str">
        <f>HYPERLINK("http://data.ntsb.gov/carol-repgen/api/Aviation/ReportMain/GenerateNewestReport/100401/pdf","AccidentReport")</f>
        <v>AccidentReport</v>
      </c>
      <c r="C939" t="s">
        <v>2150</v>
      </c>
      <c r="D939" t="s">
        <v>2154</v>
      </c>
      <c r="E939" t="s">
        <v>128</v>
      </c>
      <c r="F939" t="s">
        <v>88</v>
      </c>
      <c r="G939">
        <v>35.125556000000003</v>
      </c>
      <c r="H939">
        <v>-103.839164</v>
      </c>
      <c r="K939" t="s">
        <v>89</v>
      </c>
      <c r="L939">
        <v>1</v>
      </c>
      <c r="M939" t="s">
        <v>90</v>
      </c>
      <c r="N939" t="s">
        <v>91</v>
      </c>
      <c r="O939" t="s">
        <v>92</v>
      </c>
      <c r="S939" t="s">
        <v>108</v>
      </c>
      <c r="T939" t="s">
        <v>139</v>
      </c>
      <c r="U939" t="s">
        <v>186</v>
      </c>
    </row>
    <row r="940" spans="1:21" x14ac:dyDescent="0.3">
      <c r="A940" t="s">
        <v>2155</v>
      </c>
      <c r="B940" s="6" t="str">
        <f>HYPERLINK("http://data.ntsb.gov/carol-repgen/api/Aviation/ReportMain/GenerateNewestReport/100264/pdf","AccidentReport")</f>
        <v>AccidentReport</v>
      </c>
      <c r="C940" t="s">
        <v>2156</v>
      </c>
      <c r="D940" t="s">
        <v>2157</v>
      </c>
      <c r="F940" t="s">
        <v>88</v>
      </c>
      <c r="G940">
        <v>28.866945000000001</v>
      </c>
      <c r="H940">
        <v>-89.302222999999998</v>
      </c>
      <c r="K940" t="s">
        <v>89</v>
      </c>
      <c r="L940">
        <v>1</v>
      </c>
      <c r="M940" t="s">
        <v>147</v>
      </c>
      <c r="N940" t="s">
        <v>91</v>
      </c>
      <c r="O940" t="s">
        <v>92</v>
      </c>
      <c r="S940" t="s">
        <v>108</v>
      </c>
      <c r="T940" t="s">
        <v>159</v>
      </c>
      <c r="U940" t="s">
        <v>103</v>
      </c>
    </row>
    <row r="941" spans="1:21" x14ac:dyDescent="0.3">
      <c r="A941" t="s">
        <v>2158</v>
      </c>
      <c r="B941" s="6" t="str">
        <f>HYPERLINK("http://data.ntsb.gov/carol-repgen/api/Aviation/ReportMain/GenerateNewestReport/100280/pdf","AccidentReport")</f>
        <v>AccidentReport</v>
      </c>
      <c r="C941" t="s">
        <v>2156</v>
      </c>
      <c r="D941" t="s">
        <v>2159</v>
      </c>
      <c r="E941" t="s">
        <v>265</v>
      </c>
      <c r="F941" t="s">
        <v>88</v>
      </c>
      <c r="G941">
        <v>36.665554</v>
      </c>
      <c r="H941">
        <v>-76.320555999999996</v>
      </c>
      <c r="K941" t="s">
        <v>155</v>
      </c>
      <c r="L941">
        <v>1</v>
      </c>
      <c r="M941" t="s">
        <v>90</v>
      </c>
      <c r="N941" t="s">
        <v>91</v>
      </c>
      <c r="O941" t="s">
        <v>92</v>
      </c>
      <c r="S941" t="s">
        <v>108</v>
      </c>
      <c r="T941" t="s">
        <v>159</v>
      </c>
      <c r="U941" t="s">
        <v>248</v>
      </c>
    </row>
    <row r="942" spans="1:21" x14ac:dyDescent="0.3">
      <c r="A942" t="s">
        <v>2160</v>
      </c>
      <c r="B942" s="6" t="str">
        <f>HYPERLINK("http://data.ntsb.gov/carol-repgen/api/Aviation/ReportMain/GenerateNewestReport/100274/pdf","AccidentReport")</f>
        <v>AccidentReport</v>
      </c>
      <c r="C942" t="s">
        <v>2156</v>
      </c>
      <c r="D942" t="s">
        <v>2161</v>
      </c>
      <c r="E942" t="s">
        <v>457</v>
      </c>
      <c r="F942" t="s">
        <v>88</v>
      </c>
      <c r="G942">
        <v>36.225833000000002</v>
      </c>
      <c r="H942">
        <v>-90.036665999999997</v>
      </c>
      <c r="K942" t="s">
        <v>89</v>
      </c>
      <c r="L942">
        <v>1</v>
      </c>
      <c r="M942" t="s">
        <v>90</v>
      </c>
      <c r="N942" t="s">
        <v>91</v>
      </c>
      <c r="O942" t="s">
        <v>92</v>
      </c>
      <c r="S942" t="s">
        <v>108</v>
      </c>
      <c r="T942" t="s">
        <v>769</v>
      </c>
      <c r="U942" t="s">
        <v>222</v>
      </c>
    </row>
    <row r="943" spans="1:21" x14ac:dyDescent="0.3">
      <c r="A943" t="s">
        <v>2162</v>
      </c>
      <c r="B943" s="6" t="str">
        <f>HYPERLINK("http://data.ntsb.gov/carol-repgen/api/Aviation/ReportMain/GenerateNewestReport/100278/pdf","AccidentReport")</f>
        <v>AccidentReport</v>
      </c>
      <c r="C943" t="s">
        <v>2156</v>
      </c>
      <c r="D943" t="s">
        <v>2163</v>
      </c>
      <c r="E943" t="s">
        <v>233</v>
      </c>
      <c r="F943" t="s">
        <v>88</v>
      </c>
      <c r="G943">
        <v>63.95111</v>
      </c>
      <c r="H943">
        <v>-144.671661</v>
      </c>
      <c r="K943" t="s">
        <v>89</v>
      </c>
      <c r="L943">
        <v>1</v>
      </c>
      <c r="M943" t="s">
        <v>90</v>
      </c>
      <c r="N943" t="s">
        <v>91</v>
      </c>
      <c r="O943" t="s">
        <v>92</v>
      </c>
      <c r="S943" t="s">
        <v>108</v>
      </c>
      <c r="T943" t="s">
        <v>102</v>
      </c>
      <c r="U943" t="s">
        <v>248</v>
      </c>
    </row>
    <row r="944" spans="1:21" x14ac:dyDescent="0.3">
      <c r="A944" t="s">
        <v>2164</v>
      </c>
      <c r="B944" s="6" t="str">
        <f>HYPERLINK("http://data.ntsb.gov/carol-repgen/api/Aviation/ReportMain/GenerateNewestReport/100292/pdf","AccidentReport")</f>
        <v>AccidentReport</v>
      </c>
      <c r="C944" t="s">
        <v>2156</v>
      </c>
      <c r="D944" t="s">
        <v>2165</v>
      </c>
      <c r="E944" t="s">
        <v>233</v>
      </c>
      <c r="F944" t="s">
        <v>88</v>
      </c>
      <c r="G944">
        <v>64.527777999999998</v>
      </c>
      <c r="H944">
        <v>-150.423339</v>
      </c>
      <c r="J944">
        <v>1</v>
      </c>
      <c r="K944" t="s">
        <v>99</v>
      </c>
      <c r="L944">
        <v>1</v>
      </c>
      <c r="M944" t="s">
        <v>90</v>
      </c>
      <c r="N944" t="s">
        <v>91</v>
      </c>
      <c r="O944" t="s">
        <v>92</v>
      </c>
      <c r="S944" t="s">
        <v>108</v>
      </c>
      <c r="T944" t="s">
        <v>102</v>
      </c>
      <c r="U944" t="s">
        <v>150</v>
      </c>
    </row>
    <row r="945" spans="1:21" x14ac:dyDescent="0.3">
      <c r="A945" t="s">
        <v>2166</v>
      </c>
      <c r="B945" s="6" t="str">
        <f>HYPERLINK("http://data.ntsb.gov/carol-repgen/api/Aviation/ReportMain/GenerateNewestReport/100275/pdf","AccidentReport")</f>
        <v>AccidentReport</v>
      </c>
      <c r="C945" t="s">
        <v>2167</v>
      </c>
      <c r="D945" t="s">
        <v>289</v>
      </c>
      <c r="E945" t="s">
        <v>290</v>
      </c>
      <c r="F945" t="s">
        <v>88</v>
      </c>
      <c r="G945">
        <v>39.668056</v>
      </c>
      <c r="H945">
        <v>-119.87638800000001</v>
      </c>
      <c r="K945" t="s">
        <v>89</v>
      </c>
      <c r="L945">
        <v>1</v>
      </c>
      <c r="M945" t="s">
        <v>90</v>
      </c>
      <c r="N945" t="s">
        <v>91</v>
      </c>
      <c r="O945" t="s">
        <v>92</v>
      </c>
      <c r="S945" t="s">
        <v>108</v>
      </c>
      <c r="T945" t="s">
        <v>102</v>
      </c>
      <c r="U945" t="s">
        <v>248</v>
      </c>
    </row>
    <row r="946" spans="1:21" x14ac:dyDescent="0.3">
      <c r="A946" t="s">
        <v>2168</v>
      </c>
      <c r="B946" s="6" t="str">
        <f>HYPERLINK("http://data.ntsb.gov/carol-repgen/api/Aviation/ReportMain/GenerateNewestReport/100291/pdf","AccidentReport")</f>
        <v>AccidentReport</v>
      </c>
      <c r="C946" t="s">
        <v>2167</v>
      </c>
      <c r="D946" t="s">
        <v>2169</v>
      </c>
      <c r="E946" t="s">
        <v>165</v>
      </c>
      <c r="F946" t="s">
        <v>88</v>
      </c>
      <c r="G946">
        <v>36.266666000000001</v>
      </c>
      <c r="H946">
        <v>-95.783607000000003</v>
      </c>
      <c r="K946" t="s">
        <v>89</v>
      </c>
      <c r="L946">
        <v>1</v>
      </c>
      <c r="M946" t="s">
        <v>90</v>
      </c>
      <c r="N946" t="s">
        <v>91</v>
      </c>
      <c r="O946" t="s">
        <v>92</v>
      </c>
      <c r="S946" t="s">
        <v>108</v>
      </c>
      <c r="T946" t="s">
        <v>442</v>
      </c>
      <c r="U946" t="s">
        <v>95</v>
      </c>
    </row>
    <row r="947" spans="1:21" x14ac:dyDescent="0.3">
      <c r="A947" t="s">
        <v>2170</v>
      </c>
      <c r="B947" s="6" t="str">
        <f>HYPERLINK("http://data.ntsb.gov/carol-repgen/api/Aviation/ReportMain/GenerateNewestReport/100284/pdf","AccidentReport")</f>
        <v>AccidentReport</v>
      </c>
      <c r="C947" t="s">
        <v>2171</v>
      </c>
      <c r="D947" t="s">
        <v>2172</v>
      </c>
      <c r="E947" t="s">
        <v>117</v>
      </c>
      <c r="F947" t="s">
        <v>88</v>
      </c>
      <c r="G947">
        <v>40.569999000000003</v>
      </c>
      <c r="H947">
        <v>-75.180000000000007</v>
      </c>
      <c r="I947">
        <v>2</v>
      </c>
      <c r="K947" t="s">
        <v>107</v>
      </c>
      <c r="L947">
        <v>1</v>
      </c>
      <c r="M947" t="s">
        <v>147</v>
      </c>
      <c r="N947" t="s">
        <v>91</v>
      </c>
      <c r="O947" t="s">
        <v>92</v>
      </c>
      <c r="S947" t="s">
        <v>108</v>
      </c>
      <c r="T947" t="s">
        <v>102</v>
      </c>
      <c r="U947" t="s">
        <v>103</v>
      </c>
    </row>
    <row r="948" spans="1:21" x14ac:dyDescent="0.3">
      <c r="A948" t="s">
        <v>2173</v>
      </c>
      <c r="B948" s="6" t="str">
        <f>HYPERLINK("http://data.ntsb.gov/carol-repgen/api/Aviation/ReportMain/GenerateNewestReport/100282/pdf","AccidentReport")</f>
        <v>AccidentReport</v>
      </c>
      <c r="C948" t="s">
        <v>2171</v>
      </c>
      <c r="D948" t="s">
        <v>2174</v>
      </c>
      <c r="E948" t="s">
        <v>356</v>
      </c>
      <c r="F948" t="s">
        <v>88</v>
      </c>
      <c r="G948">
        <v>33.028056999999997</v>
      </c>
      <c r="H948">
        <v>-81.787779999999998</v>
      </c>
      <c r="J948">
        <v>1</v>
      </c>
      <c r="K948" t="s">
        <v>99</v>
      </c>
      <c r="L948">
        <v>1</v>
      </c>
      <c r="M948" t="s">
        <v>90</v>
      </c>
      <c r="N948" t="s">
        <v>100</v>
      </c>
      <c r="O948" t="s">
        <v>169</v>
      </c>
      <c r="S948" t="s">
        <v>515</v>
      </c>
      <c r="T948" t="s">
        <v>159</v>
      </c>
      <c r="U948" t="s">
        <v>103</v>
      </c>
    </row>
    <row r="949" spans="1:21" x14ac:dyDescent="0.3">
      <c r="A949" t="s">
        <v>2175</v>
      </c>
      <c r="B949" s="6" t="str">
        <f>HYPERLINK("http://data.ntsb.gov/carol-repgen/api/Aviation/ReportMain/GenerateNewestReport/100283/pdf","AccidentReport")</f>
        <v>AccidentReport</v>
      </c>
      <c r="C949" t="s">
        <v>2171</v>
      </c>
      <c r="D949" t="s">
        <v>2176</v>
      </c>
      <c r="E949" t="s">
        <v>536</v>
      </c>
      <c r="F949" t="s">
        <v>88</v>
      </c>
      <c r="G949">
        <v>39.083888999999999</v>
      </c>
      <c r="H949">
        <v>-76.762221999999994</v>
      </c>
      <c r="K949" t="s">
        <v>155</v>
      </c>
      <c r="L949">
        <v>1</v>
      </c>
      <c r="M949" t="s">
        <v>90</v>
      </c>
      <c r="N949" t="s">
        <v>91</v>
      </c>
      <c r="O949" t="s">
        <v>92</v>
      </c>
      <c r="S949" t="s">
        <v>93</v>
      </c>
      <c r="T949" t="s">
        <v>159</v>
      </c>
      <c r="U949" t="s">
        <v>119</v>
      </c>
    </row>
    <row r="950" spans="1:21" x14ac:dyDescent="0.3">
      <c r="A950" t="s">
        <v>2177</v>
      </c>
      <c r="B950" s="6" t="str">
        <f>HYPERLINK("http://data.ntsb.gov/carol-repgen/api/Aviation/ReportMain/GenerateNewestReport/100279/pdf","AccidentReport")</f>
        <v>AccidentReport</v>
      </c>
      <c r="C950" t="s">
        <v>2171</v>
      </c>
      <c r="D950" t="s">
        <v>451</v>
      </c>
      <c r="E950" t="s">
        <v>233</v>
      </c>
      <c r="F950" t="s">
        <v>88</v>
      </c>
      <c r="G950">
        <v>61.355277999999998</v>
      </c>
      <c r="H950">
        <v>-148.40943899999999</v>
      </c>
      <c r="K950" t="s">
        <v>89</v>
      </c>
      <c r="L950">
        <v>1</v>
      </c>
      <c r="M950" t="s">
        <v>90</v>
      </c>
      <c r="N950" t="s">
        <v>91</v>
      </c>
      <c r="O950" t="s">
        <v>92</v>
      </c>
      <c r="S950" t="s">
        <v>108</v>
      </c>
      <c r="T950" t="s">
        <v>94</v>
      </c>
      <c r="U950" t="s">
        <v>95</v>
      </c>
    </row>
    <row r="951" spans="1:21" x14ac:dyDescent="0.3">
      <c r="A951" t="s">
        <v>2178</v>
      </c>
      <c r="B951" s="6" t="str">
        <f>HYPERLINK("http://data.ntsb.gov/carol-repgen/api/Aviation/ReportMain/GenerateNewestReport/100293/pdf","AccidentReport")</f>
        <v>AccidentReport</v>
      </c>
      <c r="C951" t="s">
        <v>2171</v>
      </c>
      <c r="D951" t="s">
        <v>965</v>
      </c>
      <c r="E951" t="s">
        <v>98</v>
      </c>
      <c r="F951" t="s">
        <v>88</v>
      </c>
      <c r="G951">
        <v>26.149999000000001</v>
      </c>
      <c r="H951">
        <v>-81.77861</v>
      </c>
      <c r="K951" t="s">
        <v>89</v>
      </c>
      <c r="L951">
        <v>1</v>
      </c>
      <c r="M951" t="s">
        <v>90</v>
      </c>
      <c r="N951" t="s">
        <v>91</v>
      </c>
      <c r="O951" t="s">
        <v>92</v>
      </c>
      <c r="S951" t="s">
        <v>93</v>
      </c>
      <c r="T951" t="s">
        <v>109</v>
      </c>
      <c r="U951" t="s">
        <v>95</v>
      </c>
    </row>
    <row r="952" spans="1:21" x14ac:dyDescent="0.3">
      <c r="A952" t="s">
        <v>2179</v>
      </c>
      <c r="B952" s="6" t="str">
        <f>HYPERLINK("http://data.ntsb.gov/carol-repgen/api/Aviation/ReportMain/GenerateNewestReport/100393/pdf","AccidentReport")</f>
        <v>AccidentReport</v>
      </c>
      <c r="C952" t="s">
        <v>2171</v>
      </c>
      <c r="D952" t="s">
        <v>2180</v>
      </c>
      <c r="E952" t="s">
        <v>122</v>
      </c>
      <c r="F952" t="s">
        <v>88</v>
      </c>
      <c r="G952">
        <v>44.978054</v>
      </c>
      <c r="H952">
        <v>-116.283889</v>
      </c>
      <c r="K952" t="s">
        <v>89</v>
      </c>
      <c r="L952">
        <v>1</v>
      </c>
      <c r="M952" t="s">
        <v>90</v>
      </c>
      <c r="N952" t="s">
        <v>91</v>
      </c>
      <c r="O952" t="s">
        <v>92</v>
      </c>
      <c r="S952" t="s">
        <v>93</v>
      </c>
      <c r="T952" t="s">
        <v>94</v>
      </c>
      <c r="U952" t="s">
        <v>95</v>
      </c>
    </row>
    <row r="953" spans="1:21" x14ac:dyDescent="0.3">
      <c r="A953" t="s">
        <v>2181</v>
      </c>
      <c r="B953" s="6" t="str">
        <f>HYPERLINK("http://data.ntsb.gov/carol-repgen/api/Aviation/ReportMain/GenerateNewestReport/100285/pdf","AccidentReport")</f>
        <v>AccidentReport</v>
      </c>
      <c r="C953" t="s">
        <v>2182</v>
      </c>
      <c r="D953" t="s">
        <v>2183</v>
      </c>
      <c r="E953" t="s">
        <v>142</v>
      </c>
      <c r="F953" t="s">
        <v>88</v>
      </c>
      <c r="G953">
        <v>39.932220000000001</v>
      </c>
      <c r="H953">
        <v>-83.470557999999997</v>
      </c>
      <c r="I953">
        <v>1</v>
      </c>
      <c r="K953" t="s">
        <v>107</v>
      </c>
      <c r="L953">
        <v>1</v>
      </c>
      <c r="M953" t="s">
        <v>147</v>
      </c>
      <c r="N953" t="s">
        <v>91</v>
      </c>
      <c r="O953" t="s">
        <v>92</v>
      </c>
      <c r="S953" t="s">
        <v>108</v>
      </c>
      <c r="T953" t="s">
        <v>102</v>
      </c>
      <c r="U953" t="s">
        <v>103</v>
      </c>
    </row>
    <row r="954" spans="1:21" x14ac:dyDescent="0.3">
      <c r="A954" t="s">
        <v>2184</v>
      </c>
      <c r="B954" s="6" t="str">
        <f>HYPERLINK("http://data.ntsb.gov/carol-repgen/api/Aviation/ReportMain/GenerateNewestReport/100295/pdf","AccidentReport")</f>
        <v>AccidentReport</v>
      </c>
      <c r="C954" t="s">
        <v>2182</v>
      </c>
      <c r="D954" t="s">
        <v>2185</v>
      </c>
      <c r="E954" t="s">
        <v>165</v>
      </c>
      <c r="F954" t="s">
        <v>88</v>
      </c>
      <c r="G954">
        <v>34.471389000000002</v>
      </c>
      <c r="H954">
        <v>-97.959723999999994</v>
      </c>
      <c r="K954" t="s">
        <v>89</v>
      </c>
      <c r="L954">
        <v>1</v>
      </c>
      <c r="M954" t="s">
        <v>147</v>
      </c>
      <c r="N954" t="s">
        <v>91</v>
      </c>
      <c r="O954" t="s">
        <v>92</v>
      </c>
      <c r="S954" t="s">
        <v>108</v>
      </c>
      <c r="T954" t="s">
        <v>587</v>
      </c>
      <c r="U954" t="s">
        <v>221</v>
      </c>
    </row>
    <row r="955" spans="1:21" x14ac:dyDescent="0.3">
      <c r="A955" t="s">
        <v>2186</v>
      </c>
      <c r="B955" s="6" t="str">
        <f>HYPERLINK("http://data.ntsb.gov/carol-repgen/api/Aviation/ReportMain/GenerateNewestReport/100360/pdf","AccidentReport")</f>
        <v>AccidentReport</v>
      </c>
      <c r="C955" t="s">
        <v>2182</v>
      </c>
      <c r="D955" t="s">
        <v>2187</v>
      </c>
      <c r="E955" t="s">
        <v>641</v>
      </c>
      <c r="F955" t="s">
        <v>88</v>
      </c>
      <c r="G955">
        <v>32.005553999999997</v>
      </c>
      <c r="H955">
        <v>-88.612776999999994</v>
      </c>
      <c r="K955" t="s">
        <v>155</v>
      </c>
      <c r="L955">
        <v>1</v>
      </c>
      <c r="M955" t="s">
        <v>90</v>
      </c>
      <c r="N955" t="s">
        <v>91</v>
      </c>
      <c r="O955" t="s">
        <v>92</v>
      </c>
      <c r="S955" t="s">
        <v>108</v>
      </c>
      <c r="T955" t="s">
        <v>118</v>
      </c>
      <c r="U955" t="s">
        <v>186</v>
      </c>
    </row>
    <row r="956" spans="1:21" x14ac:dyDescent="0.3">
      <c r="A956" t="s">
        <v>2188</v>
      </c>
      <c r="B956" s="6" t="str">
        <f>HYPERLINK("http://data.ntsb.gov/carol-repgen/api/Aviation/ReportMain/GenerateNewestReport/100328/pdf","AccidentReport")</f>
        <v>AccidentReport</v>
      </c>
      <c r="C956" t="s">
        <v>2182</v>
      </c>
      <c r="D956" t="s">
        <v>938</v>
      </c>
      <c r="E956" t="s">
        <v>154</v>
      </c>
      <c r="F956" t="s">
        <v>88</v>
      </c>
      <c r="G956">
        <v>33.207500000000003</v>
      </c>
      <c r="H956">
        <v>-97.197776000000005</v>
      </c>
      <c r="K956" t="s">
        <v>89</v>
      </c>
      <c r="L956">
        <v>1</v>
      </c>
      <c r="M956" t="s">
        <v>90</v>
      </c>
      <c r="N956" t="s">
        <v>91</v>
      </c>
      <c r="O956" t="s">
        <v>92</v>
      </c>
      <c r="S956" t="s">
        <v>93</v>
      </c>
      <c r="T956" t="s">
        <v>109</v>
      </c>
      <c r="U956" t="s">
        <v>95</v>
      </c>
    </row>
    <row r="957" spans="1:21" x14ac:dyDescent="0.3">
      <c r="A957" t="s">
        <v>2189</v>
      </c>
      <c r="B957" s="6" t="str">
        <f>HYPERLINK("http://data.ntsb.gov/carol-repgen/api/Aviation/ReportMain/GenerateNewestReport/100296/pdf","AccidentReport")</f>
        <v>AccidentReport</v>
      </c>
      <c r="C957" t="s">
        <v>2190</v>
      </c>
      <c r="D957" t="s">
        <v>219</v>
      </c>
      <c r="E957" t="s">
        <v>106</v>
      </c>
      <c r="F957" t="s">
        <v>88</v>
      </c>
      <c r="G957">
        <v>33.803333000000002</v>
      </c>
      <c r="H957">
        <v>-118.339721</v>
      </c>
      <c r="I957">
        <v>1</v>
      </c>
      <c r="J957">
        <v>1</v>
      </c>
      <c r="K957" t="s">
        <v>107</v>
      </c>
      <c r="L957">
        <v>1</v>
      </c>
      <c r="M957" t="s">
        <v>147</v>
      </c>
      <c r="N957" t="s">
        <v>91</v>
      </c>
      <c r="O957" t="s">
        <v>92</v>
      </c>
      <c r="S957" t="s">
        <v>170</v>
      </c>
      <c r="T957" t="s">
        <v>102</v>
      </c>
      <c r="U957" t="s">
        <v>150</v>
      </c>
    </row>
    <row r="958" spans="1:21" x14ac:dyDescent="0.3">
      <c r="A958" t="s">
        <v>2191</v>
      </c>
      <c r="B958" s="6" t="str">
        <f>HYPERLINK("http://data.ntsb.gov/carol-repgen/api/Aviation/ReportMain/GenerateNewestReport/100297/pdf","AccidentReport")</f>
        <v>AccidentReport</v>
      </c>
      <c r="C958" t="s">
        <v>2190</v>
      </c>
      <c r="D958" t="s">
        <v>2192</v>
      </c>
      <c r="E958" t="s">
        <v>290</v>
      </c>
      <c r="F958" t="s">
        <v>88</v>
      </c>
      <c r="G958">
        <v>47.230860999999997</v>
      </c>
      <c r="H958">
        <v>-122.360084</v>
      </c>
      <c r="I958">
        <v>2</v>
      </c>
      <c r="K958" t="s">
        <v>107</v>
      </c>
      <c r="L958">
        <v>1</v>
      </c>
      <c r="M958" t="s">
        <v>147</v>
      </c>
      <c r="N958" t="s">
        <v>91</v>
      </c>
      <c r="O958" t="s">
        <v>92</v>
      </c>
      <c r="S958" t="s">
        <v>108</v>
      </c>
      <c r="T958" t="s">
        <v>279</v>
      </c>
      <c r="U958" t="s">
        <v>186</v>
      </c>
    </row>
    <row r="959" spans="1:21" x14ac:dyDescent="0.3">
      <c r="A959" t="s">
        <v>2193</v>
      </c>
      <c r="B959" s="6" t="str">
        <f>HYPERLINK("http://data.ntsb.gov/carol-repgen/api/Aviation/ReportMain/GenerateNewestReport/100307/pdf","AccidentReport")</f>
        <v>AccidentReport</v>
      </c>
      <c r="C959" t="s">
        <v>2194</v>
      </c>
      <c r="D959" t="s">
        <v>695</v>
      </c>
      <c r="E959" t="s">
        <v>154</v>
      </c>
      <c r="F959" t="s">
        <v>88</v>
      </c>
      <c r="G959">
        <v>32.577499000000003</v>
      </c>
      <c r="H959">
        <v>-96.717498000000006</v>
      </c>
      <c r="K959" t="s">
        <v>89</v>
      </c>
      <c r="L959">
        <v>1</v>
      </c>
      <c r="M959" t="s">
        <v>90</v>
      </c>
      <c r="N959" t="s">
        <v>91</v>
      </c>
      <c r="O959" t="s">
        <v>92</v>
      </c>
      <c r="S959" t="s">
        <v>108</v>
      </c>
      <c r="T959" t="s">
        <v>159</v>
      </c>
      <c r="U959" t="s">
        <v>119</v>
      </c>
    </row>
    <row r="960" spans="1:21" x14ac:dyDescent="0.3">
      <c r="A960" t="s">
        <v>2195</v>
      </c>
      <c r="B960" s="6" t="str">
        <f>HYPERLINK("http://data.ntsb.gov/carol-repgen/api/Aviation/ReportMain/GenerateNewestReport/100315/pdf","AccidentReport")</f>
        <v>AccidentReport</v>
      </c>
      <c r="C960" t="s">
        <v>2194</v>
      </c>
      <c r="D960" t="s">
        <v>2196</v>
      </c>
      <c r="E960" t="s">
        <v>408</v>
      </c>
      <c r="F960" t="s">
        <v>88</v>
      </c>
      <c r="G960">
        <v>42.696944999999999</v>
      </c>
      <c r="H960">
        <v>-71.548889000000003</v>
      </c>
      <c r="K960" t="s">
        <v>89</v>
      </c>
      <c r="L960">
        <v>1</v>
      </c>
      <c r="M960" t="s">
        <v>90</v>
      </c>
      <c r="N960" t="s">
        <v>91</v>
      </c>
      <c r="O960" t="s">
        <v>92</v>
      </c>
      <c r="S960" t="s">
        <v>1357</v>
      </c>
      <c r="T960" t="s">
        <v>102</v>
      </c>
      <c r="U960" t="s">
        <v>119</v>
      </c>
    </row>
    <row r="961" spans="1:21" x14ac:dyDescent="0.3">
      <c r="A961" t="s">
        <v>2197</v>
      </c>
      <c r="B961" s="6" t="str">
        <f>HYPERLINK("http://data.ntsb.gov/carol-repgen/api/Aviation/ReportMain/GenerateNewestReport/100305/pdf","AccidentReport")</f>
        <v>AccidentReport</v>
      </c>
      <c r="C961" t="s">
        <v>2194</v>
      </c>
      <c r="D961" t="s">
        <v>878</v>
      </c>
      <c r="E961" t="s">
        <v>125</v>
      </c>
      <c r="F961" t="s">
        <v>88</v>
      </c>
      <c r="G961">
        <v>34.848609000000003</v>
      </c>
      <c r="H961">
        <v>-111.78833</v>
      </c>
      <c r="K961" t="s">
        <v>89</v>
      </c>
      <c r="L961">
        <v>1</v>
      </c>
      <c r="M961" t="s">
        <v>90</v>
      </c>
      <c r="N961" t="s">
        <v>91</v>
      </c>
      <c r="O961" t="s">
        <v>92</v>
      </c>
      <c r="S961" t="s">
        <v>108</v>
      </c>
      <c r="T961" t="s">
        <v>102</v>
      </c>
      <c r="U961" t="s">
        <v>95</v>
      </c>
    </row>
    <row r="962" spans="1:21" x14ac:dyDescent="0.3">
      <c r="A962" t="s">
        <v>2198</v>
      </c>
      <c r="B962" s="6" t="str">
        <f>HYPERLINK("http://data.ntsb.gov/carol-repgen/api/Aviation/ReportMain/GenerateNewestReport/100324/pdf","AccidentReport")</f>
        <v>AccidentReport</v>
      </c>
      <c r="C962" t="s">
        <v>2194</v>
      </c>
      <c r="D962" t="s">
        <v>2199</v>
      </c>
      <c r="E962" t="s">
        <v>233</v>
      </c>
      <c r="F962" t="s">
        <v>88</v>
      </c>
      <c r="G962">
        <v>66.884719000000004</v>
      </c>
      <c r="H962">
        <v>-162.598052</v>
      </c>
      <c r="K962" t="s">
        <v>89</v>
      </c>
      <c r="L962">
        <v>1</v>
      </c>
      <c r="M962" t="s">
        <v>90</v>
      </c>
      <c r="N962" t="s">
        <v>91</v>
      </c>
      <c r="O962" t="s">
        <v>92</v>
      </c>
      <c r="S962" t="s">
        <v>170</v>
      </c>
      <c r="T962" t="s">
        <v>442</v>
      </c>
      <c r="U962" t="s">
        <v>248</v>
      </c>
    </row>
    <row r="963" spans="1:21" x14ac:dyDescent="0.3">
      <c r="A963" t="s">
        <v>2200</v>
      </c>
      <c r="B963" s="6" t="str">
        <f>HYPERLINK("http://data.ntsb.gov/carol-repgen/api/Aviation/ReportMain/GenerateNewestReport/100333/pdf","AccidentReport")</f>
        <v>AccidentReport</v>
      </c>
      <c r="C963" t="s">
        <v>2194</v>
      </c>
      <c r="D963" t="s">
        <v>2201</v>
      </c>
      <c r="E963" t="s">
        <v>349</v>
      </c>
      <c r="F963" t="s">
        <v>88</v>
      </c>
      <c r="G963">
        <v>41.143332999999998</v>
      </c>
      <c r="H963">
        <v>-85.152777999999998</v>
      </c>
      <c r="K963" t="s">
        <v>89</v>
      </c>
      <c r="L963">
        <v>1</v>
      </c>
      <c r="M963" t="s">
        <v>90</v>
      </c>
      <c r="N963" t="s">
        <v>91</v>
      </c>
      <c r="O963" t="s">
        <v>92</v>
      </c>
      <c r="S963" t="s">
        <v>108</v>
      </c>
      <c r="T963" t="s">
        <v>159</v>
      </c>
      <c r="U963" t="s">
        <v>119</v>
      </c>
    </row>
    <row r="964" spans="1:21" x14ac:dyDescent="0.3">
      <c r="A964" t="s">
        <v>2202</v>
      </c>
      <c r="B964" s="6" t="str">
        <f>HYPERLINK("http://data.ntsb.gov/carol-repgen/api/Aviation/ReportMain/GenerateNewestReport/100338/pdf","AccidentReport")</f>
        <v>AccidentReport</v>
      </c>
      <c r="C964" t="s">
        <v>2203</v>
      </c>
      <c r="D964" t="s">
        <v>1298</v>
      </c>
      <c r="E964" t="s">
        <v>233</v>
      </c>
      <c r="F964" t="s">
        <v>88</v>
      </c>
      <c r="G964">
        <v>69.219818000000004</v>
      </c>
      <c r="H964">
        <v>-146.790786</v>
      </c>
      <c r="K964" t="s">
        <v>89</v>
      </c>
      <c r="L964">
        <v>1</v>
      </c>
      <c r="M964" t="s">
        <v>90</v>
      </c>
      <c r="N964" t="s">
        <v>91</v>
      </c>
      <c r="O964" t="s">
        <v>92</v>
      </c>
      <c r="S964" t="s">
        <v>108</v>
      </c>
      <c r="T964" t="s">
        <v>749</v>
      </c>
      <c r="U964" t="s">
        <v>150</v>
      </c>
    </row>
    <row r="965" spans="1:21" x14ac:dyDescent="0.3">
      <c r="A965" t="s">
        <v>2204</v>
      </c>
      <c r="B965" s="6" t="str">
        <f>HYPERLINK("http://data.ntsb.gov/carol-repgen/api/Aviation/ReportMain/GenerateNewestReport/100314/pdf","AccidentReport")</f>
        <v>AccidentReport</v>
      </c>
      <c r="C965" t="s">
        <v>2205</v>
      </c>
      <c r="D965" t="s">
        <v>2206</v>
      </c>
      <c r="E965" t="s">
        <v>613</v>
      </c>
      <c r="F965" t="s">
        <v>88</v>
      </c>
      <c r="G965">
        <v>35.787497999999999</v>
      </c>
      <c r="H965">
        <v>-94.355002999999996</v>
      </c>
      <c r="I965">
        <v>1</v>
      </c>
      <c r="K965" t="s">
        <v>107</v>
      </c>
      <c r="L965">
        <v>1</v>
      </c>
      <c r="M965" t="s">
        <v>90</v>
      </c>
      <c r="N965" t="s">
        <v>91</v>
      </c>
      <c r="O965" t="s">
        <v>92</v>
      </c>
      <c r="S965" t="s">
        <v>108</v>
      </c>
      <c r="T965" t="s">
        <v>279</v>
      </c>
      <c r="U965" t="s">
        <v>186</v>
      </c>
    </row>
    <row r="966" spans="1:21" x14ac:dyDescent="0.3">
      <c r="A966" t="s">
        <v>2207</v>
      </c>
      <c r="B966" s="6" t="str">
        <f>HYPERLINK("http://data.ntsb.gov/carol-repgen/api/Aviation/ReportMain/GenerateNewestReport/100312/pdf","AccidentReport")</f>
        <v>AccidentReport</v>
      </c>
      <c r="C966" t="s">
        <v>2205</v>
      </c>
      <c r="D966" t="s">
        <v>682</v>
      </c>
      <c r="E966" t="s">
        <v>98</v>
      </c>
      <c r="F966" t="s">
        <v>88</v>
      </c>
      <c r="G966">
        <v>27.931387999999998</v>
      </c>
      <c r="H966">
        <v>-82.043334000000002</v>
      </c>
      <c r="I966">
        <v>0</v>
      </c>
      <c r="J966">
        <v>1</v>
      </c>
      <c r="K966" t="s">
        <v>99</v>
      </c>
      <c r="L966">
        <v>1</v>
      </c>
      <c r="M966" t="s">
        <v>90</v>
      </c>
      <c r="N966" t="s">
        <v>91</v>
      </c>
      <c r="O966" t="s">
        <v>92</v>
      </c>
      <c r="S966" t="s">
        <v>108</v>
      </c>
      <c r="T966" t="s">
        <v>102</v>
      </c>
      <c r="U966" t="s">
        <v>95</v>
      </c>
    </row>
    <row r="967" spans="1:21" x14ac:dyDescent="0.3">
      <c r="A967" t="s">
        <v>2208</v>
      </c>
      <c r="B967" s="6" t="str">
        <f>HYPERLINK("http://data.ntsb.gov/carol-repgen/api/Aviation/ReportMain/GenerateNewestReport/100318/pdf","AccidentReport")</f>
        <v>AccidentReport</v>
      </c>
      <c r="C967" t="s">
        <v>2205</v>
      </c>
      <c r="D967" t="s">
        <v>1146</v>
      </c>
      <c r="E967" t="s">
        <v>399</v>
      </c>
      <c r="F967" t="s">
        <v>88</v>
      </c>
      <c r="G967">
        <v>37.564723000000001</v>
      </c>
      <c r="H967">
        <v>-97.174719999999994</v>
      </c>
      <c r="K967" t="s">
        <v>89</v>
      </c>
      <c r="L967">
        <v>1</v>
      </c>
      <c r="M967" t="s">
        <v>90</v>
      </c>
      <c r="N967" t="s">
        <v>91</v>
      </c>
      <c r="O967" t="s">
        <v>92</v>
      </c>
      <c r="S967" t="s">
        <v>108</v>
      </c>
      <c r="T967" t="s">
        <v>94</v>
      </c>
      <c r="U967" t="s">
        <v>248</v>
      </c>
    </row>
    <row r="968" spans="1:21" x14ac:dyDescent="0.3">
      <c r="A968" t="s">
        <v>2209</v>
      </c>
      <c r="B968" s="6" t="str">
        <f>HYPERLINK("http://data.ntsb.gov/carol-repgen/api/Aviation/ReportMain/GenerateNewestReport/100326/pdf","AccidentReport")</f>
        <v>AccidentReport</v>
      </c>
      <c r="C968" t="s">
        <v>2205</v>
      </c>
      <c r="D968" t="s">
        <v>469</v>
      </c>
      <c r="E968" t="s">
        <v>233</v>
      </c>
      <c r="F968" t="s">
        <v>88</v>
      </c>
      <c r="G968">
        <v>61.769165000000001</v>
      </c>
      <c r="H968">
        <v>-151.584442</v>
      </c>
      <c r="K968" t="s">
        <v>89</v>
      </c>
      <c r="L968">
        <v>1</v>
      </c>
      <c r="M968" t="s">
        <v>90</v>
      </c>
      <c r="N968" t="s">
        <v>91</v>
      </c>
      <c r="O968" t="s">
        <v>92</v>
      </c>
      <c r="S968" t="s">
        <v>108</v>
      </c>
      <c r="T968" t="s">
        <v>94</v>
      </c>
      <c r="U968" t="s">
        <v>248</v>
      </c>
    </row>
    <row r="969" spans="1:21" x14ac:dyDescent="0.3">
      <c r="A969" t="s">
        <v>2210</v>
      </c>
      <c r="B969" s="6" t="str">
        <f>HYPERLINK("http://data.ntsb.gov/carol-repgen/api/Aviation/ReportMain/GenerateNewestReport/100329/pdf","AccidentReport")</f>
        <v>AccidentReport</v>
      </c>
      <c r="C969" t="s">
        <v>2205</v>
      </c>
      <c r="D969" t="s">
        <v>2211</v>
      </c>
      <c r="E969" t="s">
        <v>402</v>
      </c>
      <c r="F969" t="s">
        <v>88</v>
      </c>
      <c r="G969">
        <v>34.496111999999997</v>
      </c>
      <c r="H969">
        <v>-80.531943999999996</v>
      </c>
      <c r="K969" t="s">
        <v>89</v>
      </c>
      <c r="L969">
        <v>1</v>
      </c>
      <c r="M969" t="s">
        <v>90</v>
      </c>
      <c r="N969" t="s">
        <v>100</v>
      </c>
      <c r="O969" t="s">
        <v>92</v>
      </c>
      <c r="S969" t="s">
        <v>108</v>
      </c>
      <c r="T969" t="s">
        <v>102</v>
      </c>
      <c r="U969" t="s">
        <v>248</v>
      </c>
    </row>
    <row r="970" spans="1:21" x14ac:dyDescent="0.3">
      <c r="A970" t="s">
        <v>2212</v>
      </c>
      <c r="B970" s="6" t="str">
        <f>HYPERLINK("http://data.ntsb.gov/carol-repgen/api/Aviation/ReportMain/GenerateNewestReport/100336/pdf","AccidentReport")</f>
        <v>AccidentReport</v>
      </c>
      <c r="C970" t="s">
        <v>2205</v>
      </c>
      <c r="D970" t="s">
        <v>2213</v>
      </c>
      <c r="E970" t="s">
        <v>131</v>
      </c>
      <c r="F970" t="s">
        <v>88</v>
      </c>
      <c r="G970">
        <v>40.039442999999999</v>
      </c>
      <c r="H970">
        <v>-105.226112</v>
      </c>
      <c r="K970" t="s">
        <v>89</v>
      </c>
      <c r="L970">
        <v>1</v>
      </c>
      <c r="M970" t="s">
        <v>90</v>
      </c>
      <c r="N970" t="s">
        <v>91</v>
      </c>
      <c r="O970" t="s">
        <v>92</v>
      </c>
      <c r="S970" t="s">
        <v>108</v>
      </c>
      <c r="T970" t="s">
        <v>94</v>
      </c>
      <c r="U970" t="s">
        <v>95</v>
      </c>
    </row>
    <row r="971" spans="1:21" x14ac:dyDescent="0.3">
      <c r="A971" t="s">
        <v>2214</v>
      </c>
      <c r="B971" s="6" t="str">
        <f>HYPERLINK("http://data.ntsb.gov/carol-repgen/api/Aviation/ReportMain/GenerateNewestReport/100361/pdf","AccidentReport")</f>
        <v>AccidentReport</v>
      </c>
      <c r="C971" t="s">
        <v>2205</v>
      </c>
      <c r="D971" t="s">
        <v>1436</v>
      </c>
      <c r="E971" t="s">
        <v>98</v>
      </c>
      <c r="F971" t="s">
        <v>88</v>
      </c>
      <c r="G971">
        <v>28.000278000000002</v>
      </c>
      <c r="H971">
        <v>-82.163330000000002</v>
      </c>
      <c r="K971" t="s">
        <v>89</v>
      </c>
      <c r="L971">
        <v>1</v>
      </c>
      <c r="M971" t="s">
        <v>90</v>
      </c>
      <c r="N971" t="s">
        <v>91</v>
      </c>
      <c r="O971" t="s">
        <v>92</v>
      </c>
      <c r="S971" t="s">
        <v>93</v>
      </c>
      <c r="T971" t="s">
        <v>94</v>
      </c>
      <c r="U971" t="s">
        <v>248</v>
      </c>
    </row>
    <row r="972" spans="1:21" x14ac:dyDescent="0.3">
      <c r="A972" t="s">
        <v>2215</v>
      </c>
      <c r="B972" s="6" t="str">
        <f>HYPERLINK("http://data.ntsb.gov/carol-repgen/api/Aviation/ReportMain/GenerateNewestReport/100317/pdf","AccidentReport")</f>
        <v>AccidentReport</v>
      </c>
      <c r="C972" t="s">
        <v>2205</v>
      </c>
      <c r="D972" t="s">
        <v>2216</v>
      </c>
      <c r="E972" t="s">
        <v>251</v>
      </c>
      <c r="F972" t="s">
        <v>88</v>
      </c>
      <c r="G972">
        <v>45.480086999999997</v>
      </c>
      <c r="H972">
        <v>-122.509109</v>
      </c>
      <c r="J972">
        <v>2</v>
      </c>
      <c r="K972" t="s">
        <v>99</v>
      </c>
      <c r="L972">
        <v>1</v>
      </c>
      <c r="M972" t="s">
        <v>90</v>
      </c>
      <c r="N972" t="s">
        <v>91</v>
      </c>
      <c r="O972" t="s">
        <v>92</v>
      </c>
      <c r="S972" t="s">
        <v>93</v>
      </c>
      <c r="T972" t="s">
        <v>159</v>
      </c>
      <c r="U972" t="s">
        <v>186</v>
      </c>
    </row>
    <row r="973" spans="1:21" x14ac:dyDescent="0.3">
      <c r="A973" t="s">
        <v>2217</v>
      </c>
      <c r="B973" s="6" t="str">
        <f>HYPERLINK("http://data.ntsb.gov/carol-repgen/api/Aviation/ReportMain/GenerateNewestReport/100322/pdf","AccidentReport")</f>
        <v>AccidentReport</v>
      </c>
      <c r="C973" t="s">
        <v>2218</v>
      </c>
      <c r="D973" t="s">
        <v>2219</v>
      </c>
      <c r="E973" t="s">
        <v>390</v>
      </c>
      <c r="F973" t="s">
        <v>88</v>
      </c>
      <c r="G973">
        <v>40.528888000000002</v>
      </c>
      <c r="H973">
        <v>-74.589995999999999</v>
      </c>
      <c r="I973">
        <v>0</v>
      </c>
      <c r="K973" t="s">
        <v>89</v>
      </c>
      <c r="L973">
        <v>1</v>
      </c>
      <c r="M973" t="s">
        <v>90</v>
      </c>
      <c r="N973" t="s">
        <v>91</v>
      </c>
      <c r="O973" t="s">
        <v>92</v>
      </c>
      <c r="S973" t="s">
        <v>93</v>
      </c>
      <c r="T973" t="s">
        <v>159</v>
      </c>
      <c r="U973" t="s">
        <v>119</v>
      </c>
    </row>
    <row r="974" spans="1:21" x14ac:dyDescent="0.3">
      <c r="A974" t="s">
        <v>2220</v>
      </c>
      <c r="B974" s="6" t="str">
        <f>HYPERLINK("http://data.ntsb.gov/carol-repgen/api/Aviation/ReportMain/GenerateNewestReport/100332/pdf","AccidentReport")</f>
        <v>AccidentReport</v>
      </c>
      <c r="C974" t="s">
        <v>2218</v>
      </c>
      <c r="D974" t="s">
        <v>2121</v>
      </c>
      <c r="E974" t="s">
        <v>98</v>
      </c>
      <c r="F974" t="s">
        <v>88</v>
      </c>
      <c r="G974">
        <v>29.959167000000001</v>
      </c>
      <c r="H974">
        <v>-81.339720999999997</v>
      </c>
      <c r="J974">
        <v>2</v>
      </c>
      <c r="K974" t="s">
        <v>99</v>
      </c>
      <c r="L974">
        <v>1</v>
      </c>
      <c r="M974" t="s">
        <v>90</v>
      </c>
      <c r="N974" t="s">
        <v>91</v>
      </c>
      <c r="O974" t="s">
        <v>92</v>
      </c>
      <c r="S974" t="s">
        <v>93</v>
      </c>
      <c r="T974" t="s">
        <v>159</v>
      </c>
      <c r="U974" t="s">
        <v>248</v>
      </c>
    </row>
    <row r="975" spans="1:21" x14ac:dyDescent="0.3">
      <c r="A975" t="s">
        <v>2221</v>
      </c>
      <c r="B975" s="6" t="str">
        <f>HYPERLINK("http://data.ntsb.gov/carol-repgen/api/Aviation/ReportMain/GenerateNewestReport/100487/pdf","AccidentReport")</f>
        <v>AccidentReport</v>
      </c>
      <c r="C975" t="s">
        <v>2218</v>
      </c>
      <c r="D975" t="s">
        <v>2222</v>
      </c>
      <c r="E975" t="s">
        <v>206</v>
      </c>
      <c r="F975" t="s">
        <v>88</v>
      </c>
      <c r="G975">
        <v>34.601112000000001</v>
      </c>
      <c r="H975">
        <v>-78.578886999999995</v>
      </c>
      <c r="J975">
        <v>1</v>
      </c>
      <c r="K975" t="s">
        <v>99</v>
      </c>
      <c r="L975">
        <v>1</v>
      </c>
      <c r="M975" t="s">
        <v>147</v>
      </c>
      <c r="N975" t="s">
        <v>91</v>
      </c>
      <c r="O975" t="s">
        <v>92</v>
      </c>
      <c r="S975" t="s">
        <v>108</v>
      </c>
      <c r="T975" t="s">
        <v>109</v>
      </c>
      <c r="U975" t="s">
        <v>95</v>
      </c>
    </row>
    <row r="976" spans="1:21" x14ac:dyDescent="0.3">
      <c r="A976" t="s">
        <v>2223</v>
      </c>
      <c r="B976" s="6" t="str">
        <f>HYPERLINK("http://data.ntsb.gov/carol-repgen/api/Aviation/ReportMain/GenerateNewestReport/100339/pdf","AccidentReport")</f>
        <v>AccidentReport</v>
      </c>
      <c r="C976" t="s">
        <v>2224</v>
      </c>
      <c r="D976" t="s">
        <v>2225</v>
      </c>
      <c r="E976" t="s">
        <v>233</v>
      </c>
      <c r="F976" t="s">
        <v>88</v>
      </c>
      <c r="G976">
        <v>60.978889000000002</v>
      </c>
      <c r="H976">
        <v>-151.89222000000001</v>
      </c>
      <c r="J976">
        <v>1</v>
      </c>
      <c r="K976" t="s">
        <v>99</v>
      </c>
      <c r="L976">
        <v>1</v>
      </c>
      <c r="M976" t="s">
        <v>90</v>
      </c>
      <c r="N976" t="s">
        <v>91</v>
      </c>
      <c r="O976" t="s">
        <v>92</v>
      </c>
      <c r="S976" t="s">
        <v>108</v>
      </c>
      <c r="T976" t="s">
        <v>749</v>
      </c>
      <c r="U976" t="s">
        <v>150</v>
      </c>
    </row>
    <row r="977" spans="1:21" x14ac:dyDescent="0.3">
      <c r="A977" t="s">
        <v>2226</v>
      </c>
      <c r="B977" s="6" t="str">
        <f>HYPERLINK("http://data.ntsb.gov/carol-repgen/api/Aviation/ReportMain/GenerateNewestReport/100337/pdf","AccidentReport")</f>
        <v>AccidentReport</v>
      </c>
      <c r="C977" t="s">
        <v>2224</v>
      </c>
      <c r="D977" t="s">
        <v>2227</v>
      </c>
      <c r="E977" t="s">
        <v>457</v>
      </c>
      <c r="F977" t="s">
        <v>88</v>
      </c>
      <c r="G977">
        <v>37.596111000000001</v>
      </c>
      <c r="H977">
        <v>-93.348051999999996</v>
      </c>
      <c r="K977" t="s">
        <v>89</v>
      </c>
      <c r="L977">
        <v>1</v>
      </c>
      <c r="M977" t="s">
        <v>90</v>
      </c>
      <c r="N977" t="s">
        <v>91</v>
      </c>
      <c r="O977" t="s">
        <v>92</v>
      </c>
      <c r="S977" t="s">
        <v>108</v>
      </c>
      <c r="T977" t="s">
        <v>139</v>
      </c>
      <c r="U977" t="s">
        <v>119</v>
      </c>
    </row>
    <row r="978" spans="1:21" x14ac:dyDescent="0.3">
      <c r="A978" t="s">
        <v>2228</v>
      </c>
      <c r="B978" s="6" t="str">
        <f>HYPERLINK("http://data.ntsb.gov/carol-repgen/api/Aviation/ReportMain/GenerateNewestReport/100334/pdf","AccidentReport")</f>
        <v>AccidentReport</v>
      </c>
      <c r="C978" t="s">
        <v>2224</v>
      </c>
      <c r="D978" t="s">
        <v>259</v>
      </c>
      <c r="E978" t="s">
        <v>485</v>
      </c>
      <c r="F978" t="s">
        <v>88</v>
      </c>
      <c r="G978">
        <v>40.786388000000002</v>
      </c>
      <c r="H978">
        <v>-99.778334999999998</v>
      </c>
      <c r="J978">
        <v>1</v>
      </c>
      <c r="K978" t="s">
        <v>99</v>
      </c>
      <c r="L978">
        <v>1</v>
      </c>
      <c r="M978" t="s">
        <v>90</v>
      </c>
      <c r="N978" t="s">
        <v>91</v>
      </c>
      <c r="O978" t="s">
        <v>92</v>
      </c>
      <c r="S978" t="s">
        <v>93</v>
      </c>
      <c r="T978" t="s">
        <v>102</v>
      </c>
      <c r="U978" t="s">
        <v>119</v>
      </c>
    </row>
    <row r="979" spans="1:21" x14ac:dyDescent="0.3">
      <c r="A979" t="s">
        <v>2229</v>
      </c>
      <c r="B979" s="6" t="str">
        <f>HYPERLINK("http://data.ntsb.gov/carol-repgen/api/Aviation/ReportMain/GenerateNewestReport/100335/pdf","AccidentReport")</f>
        <v>AccidentReport</v>
      </c>
      <c r="C979" t="s">
        <v>2224</v>
      </c>
      <c r="D979" t="s">
        <v>599</v>
      </c>
      <c r="E979" t="s">
        <v>349</v>
      </c>
      <c r="F979" t="s">
        <v>88</v>
      </c>
      <c r="G979">
        <v>40.412222999999997</v>
      </c>
      <c r="H979">
        <v>-86.936942999999999</v>
      </c>
      <c r="K979" t="s">
        <v>89</v>
      </c>
      <c r="L979">
        <v>1</v>
      </c>
      <c r="M979" t="s">
        <v>90</v>
      </c>
      <c r="N979" t="s">
        <v>91</v>
      </c>
      <c r="O979" t="s">
        <v>92</v>
      </c>
      <c r="S979" t="s">
        <v>93</v>
      </c>
      <c r="T979" t="s">
        <v>109</v>
      </c>
      <c r="U979" t="s">
        <v>95</v>
      </c>
    </row>
    <row r="980" spans="1:21" x14ac:dyDescent="0.3">
      <c r="A980" t="s">
        <v>2230</v>
      </c>
      <c r="B980" s="6" t="str">
        <f>HYPERLINK("http://data.ntsb.gov/carol-repgen/api/Aviation/ReportMain/GenerateNewestReport/100411/pdf","AccidentReport")</f>
        <v>AccidentReport</v>
      </c>
      <c r="C980" t="s">
        <v>2224</v>
      </c>
      <c r="D980" t="s">
        <v>1821</v>
      </c>
      <c r="E980" t="s">
        <v>154</v>
      </c>
      <c r="F980" t="s">
        <v>88</v>
      </c>
      <c r="G980">
        <v>33.663612000000001</v>
      </c>
      <c r="H980">
        <v>-101.820556</v>
      </c>
      <c r="K980" t="s">
        <v>89</v>
      </c>
      <c r="L980">
        <v>1</v>
      </c>
      <c r="M980" t="s">
        <v>90</v>
      </c>
      <c r="N980" t="s">
        <v>91</v>
      </c>
      <c r="O980" t="s">
        <v>92</v>
      </c>
      <c r="S980" t="s">
        <v>108</v>
      </c>
      <c r="T980" t="s">
        <v>102</v>
      </c>
      <c r="U980" t="s">
        <v>248</v>
      </c>
    </row>
    <row r="981" spans="1:21" x14ac:dyDescent="0.3">
      <c r="A981" t="s">
        <v>2231</v>
      </c>
      <c r="B981" s="6" t="str">
        <f>HYPERLINK("http://data.ntsb.gov/carol-repgen/api/Aviation/ReportMain/GenerateNewestReport/100485/pdf","AccidentReport")</f>
        <v>AccidentReport</v>
      </c>
      <c r="C981" t="s">
        <v>2224</v>
      </c>
      <c r="D981" t="s">
        <v>2121</v>
      </c>
      <c r="E981" t="s">
        <v>98</v>
      </c>
      <c r="F981" t="s">
        <v>88</v>
      </c>
      <c r="G981">
        <v>29.959167000000001</v>
      </c>
      <c r="H981">
        <v>-81.339720999999997</v>
      </c>
      <c r="K981" t="s">
        <v>89</v>
      </c>
      <c r="L981">
        <v>1</v>
      </c>
      <c r="M981" t="s">
        <v>90</v>
      </c>
      <c r="N981" t="s">
        <v>91</v>
      </c>
      <c r="O981" t="s">
        <v>92</v>
      </c>
      <c r="S981" t="s">
        <v>93</v>
      </c>
      <c r="T981" t="s">
        <v>109</v>
      </c>
      <c r="U981" t="s">
        <v>95</v>
      </c>
    </row>
    <row r="982" spans="1:21" x14ac:dyDescent="0.3">
      <c r="A982" t="s">
        <v>2232</v>
      </c>
      <c r="B982" s="6" t="str">
        <f>HYPERLINK("http://data.ntsb.gov/carol-repgen/api/Aviation/ReportMain/GenerateNewestReport/100351/pdf","AccidentReport")</f>
        <v>AccidentReport</v>
      </c>
      <c r="C982" t="s">
        <v>2233</v>
      </c>
      <c r="D982" t="s">
        <v>2234</v>
      </c>
      <c r="E982" t="s">
        <v>345</v>
      </c>
      <c r="F982" t="s">
        <v>88</v>
      </c>
      <c r="G982">
        <v>42.815277000000002</v>
      </c>
      <c r="H982">
        <v>-108.72861399999999</v>
      </c>
      <c r="K982" t="s">
        <v>155</v>
      </c>
      <c r="L982">
        <v>1</v>
      </c>
      <c r="M982" t="s">
        <v>90</v>
      </c>
      <c r="N982" t="s">
        <v>91</v>
      </c>
      <c r="O982" t="s">
        <v>92</v>
      </c>
      <c r="S982" t="s">
        <v>108</v>
      </c>
      <c r="T982" t="s">
        <v>102</v>
      </c>
      <c r="U982" t="s">
        <v>248</v>
      </c>
    </row>
    <row r="983" spans="1:21" x14ac:dyDescent="0.3">
      <c r="A983" t="s">
        <v>2235</v>
      </c>
      <c r="B983" s="6" t="str">
        <f>HYPERLINK("http://data.ntsb.gov/carol-repgen/api/Aviation/ReportMain/GenerateNewestReport/100347/pdf","AccidentReport")</f>
        <v>AccidentReport</v>
      </c>
      <c r="C983" t="s">
        <v>2233</v>
      </c>
      <c r="D983" t="s">
        <v>2236</v>
      </c>
      <c r="E983" t="s">
        <v>128</v>
      </c>
      <c r="F983" t="s">
        <v>88</v>
      </c>
      <c r="G983">
        <v>35.90972</v>
      </c>
      <c r="H983">
        <v>-105.56440000000001</v>
      </c>
      <c r="I983">
        <v>2</v>
      </c>
      <c r="K983" t="s">
        <v>107</v>
      </c>
      <c r="L983">
        <v>1</v>
      </c>
      <c r="M983" t="s">
        <v>147</v>
      </c>
      <c r="N983" t="s">
        <v>91</v>
      </c>
      <c r="O983" t="s">
        <v>92</v>
      </c>
      <c r="S983" t="s">
        <v>108</v>
      </c>
      <c r="T983" t="s">
        <v>332</v>
      </c>
      <c r="U983" t="s">
        <v>186</v>
      </c>
    </row>
    <row r="984" spans="1:21" x14ac:dyDescent="0.3">
      <c r="A984" t="s">
        <v>2237</v>
      </c>
      <c r="B984" s="6" t="str">
        <f>HYPERLINK("http://data.ntsb.gov/carol-repgen/api/Aviation/ReportMain/GenerateNewestReport/100341/pdf","AccidentReport")</f>
        <v>AccidentReport</v>
      </c>
      <c r="C984" t="s">
        <v>2238</v>
      </c>
      <c r="D984" t="s">
        <v>2239</v>
      </c>
      <c r="E984" t="s">
        <v>641</v>
      </c>
      <c r="F984" t="s">
        <v>88</v>
      </c>
      <c r="G984">
        <v>33.443331999999998</v>
      </c>
      <c r="H984">
        <v>-88.508887999999999</v>
      </c>
      <c r="J984">
        <v>1</v>
      </c>
      <c r="K984" t="s">
        <v>99</v>
      </c>
      <c r="L984">
        <v>1</v>
      </c>
      <c r="M984" t="s">
        <v>90</v>
      </c>
      <c r="N984" t="s">
        <v>91</v>
      </c>
      <c r="O984" t="s">
        <v>169</v>
      </c>
      <c r="S984" t="s">
        <v>515</v>
      </c>
      <c r="T984" t="s">
        <v>442</v>
      </c>
      <c r="U984" t="s">
        <v>103</v>
      </c>
    </row>
    <row r="985" spans="1:21" x14ac:dyDescent="0.3">
      <c r="A985" t="s">
        <v>2240</v>
      </c>
      <c r="B985" s="6" t="str">
        <f>HYPERLINK("http://data.ntsb.gov/carol-repgen/api/Aviation/ReportMain/GenerateNewestReport/100352/pdf","AccidentReport")</f>
        <v>AccidentReport</v>
      </c>
      <c r="C985" t="s">
        <v>2238</v>
      </c>
      <c r="D985" t="s">
        <v>2241</v>
      </c>
      <c r="E985" t="s">
        <v>228</v>
      </c>
      <c r="F985" t="s">
        <v>88</v>
      </c>
      <c r="G985">
        <v>31.479444000000001</v>
      </c>
      <c r="H985">
        <v>-92.461112</v>
      </c>
      <c r="K985" t="s">
        <v>89</v>
      </c>
      <c r="L985">
        <v>1</v>
      </c>
      <c r="M985" t="s">
        <v>90</v>
      </c>
      <c r="N985" t="s">
        <v>91</v>
      </c>
      <c r="O985" t="s">
        <v>92</v>
      </c>
      <c r="S985" t="s">
        <v>108</v>
      </c>
      <c r="T985" t="s">
        <v>94</v>
      </c>
      <c r="U985" t="s">
        <v>95</v>
      </c>
    </row>
    <row r="986" spans="1:21" x14ac:dyDescent="0.3">
      <c r="A986" t="s">
        <v>2242</v>
      </c>
      <c r="B986" s="6" t="str">
        <f>HYPERLINK("http://data.ntsb.gov/carol-repgen/api/Aviation/ReportMain/GenerateNewestReport/100370/pdf","AccidentReport")</f>
        <v>AccidentReport</v>
      </c>
      <c r="C986" t="s">
        <v>2238</v>
      </c>
      <c r="D986" t="s">
        <v>1864</v>
      </c>
      <c r="E986" t="s">
        <v>125</v>
      </c>
      <c r="F986" t="s">
        <v>88</v>
      </c>
      <c r="G986">
        <v>33.460833999999998</v>
      </c>
      <c r="H986">
        <v>-111.72833199999999</v>
      </c>
      <c r="K986" t="s">
        <v>89</v>
      </c>
      <c r="L986">
        <v>1</v>
      </c>
      <c r="M986" t="s">
        <v>90</v>
      </c>
      <c r="N986" t="s">
        <v>91</v>
      </c>
      <c r="O986" t="s">
        <v>92</v>
      </c>
      <c r="S986" t="s">
        <v>93</v>
      </c>
      <c r="T986" t="s">
        <v>247</v>
      </c>
      <c r="U986" t="s">
        <v>95</v>
      </c>
    </row>
    <row r="987" spans="1:21" x14ac:dyDescent="0.3">
      <c r="A987" t="s">
        <v>2243</v>
      </c>
      <c r="B987" s="6" t="str">
        <f>HYPERLINK("http://data.ntsb.gov/carol-repgen/api/Aviation/ReportMain/GenerateNewestReport/100398/pdf","AccidentReport")</f>
        <v>AccidentReport</v>
      </c>
      <c r="C987" t="s">
        <v>2238</v>
      </c>
      <c r="D987" t="s">
        <v>2244</v>
      </c>
      <c r="E987" t="s">
        <v>106</v>
      </c>
      <c r="F987" t="s">
        <v>88</v>
      </c>
      <c r="G987">
        <v>39.094721999999997</v>
      </c>
      <c r="H987">
        <v>-122.09777800000001</v>
      </c>
      <c r="K987" t="s">
        <v>89</v>
      </c>
      <c r="L987">
        <v>1</v>
      </c>
      <c r="M987" t="s">
        <v>90</v>
      </c>
      <c r="N987" t="s">
        <v>91</v>
      </c>
      <c r="O987" t="s">
        <v>92</v>
      </c>
      <c r="S987" t="s">
        <v>108</v>
      </c>
      <c r="T987" t="s">
        <v>94</v>
      </c>
      <c r="U987" t="s">
        <v>221</v>
      </c>
    </row>
    <row r="988" spans="1:21" x14ac:dyDescent="0.3">
      <c r="A988" t="s">
        <v>2245</v>
      </c>
      <c r="B988" s="6" t="str">
        <f>HYPERLINK("http://data.ntsb.gov/carol-repgen/api/Aviation/ReportMain/GenerateNewestReport/100348/pdf","AccidentReport")</f>
        <v>AccidentReport</v>
      </c>
      <c r="C988" t="s">
        <v>2238</v>
      </c>
      <c r="D988" t="s">
        <v>2246</v>
      </c>
      <c r="E988" t="s">
        <v>106</v>
      </c>
      <c r="F988" t="s">
        <v>88</v>
      </c>
      <c r="G988">
        <v>37.625830999999998</v>
      </c>
      <c r="H988">
        <v>-120.954444</v>
      </c>
      <c r="K988" t="s">
        <v>89</v>
      </c>
      <c r="L988">
        <v>1</v>
      </c>
      <c r="M988" t="s">
        <v>147</v>
      </c>
      <c r="N988" t="s">
        <v>91</v>
      </c>
      <c r="O988" t="s">
        <v>92</v>
      </c>
      <c r="S988" t="s">
        <v>108</v>
      </c>
      <c r="T988" t="s">
        <v>159</v>
      </c>
      <c r="U988" t="s">
        <v>186</v>
      </c>
    </row>
    <row r="989" spans="1:21" x14ac:dyDescent="0.3">
      <c r="A989" t="s">
        <v>2247</v>
      </c>
      <c r="B989" s="6" t="str">
        <f>HYPERLINK("http://data.ntsb.gov/carol-repgen/api/Aviation/ReportMain/GenerateNewestReport/100343/pdf","AccidentReport")</f>
        <v>AccidentReport</v>
      </c>
      <c r="C989" t="s">
        <v>2248</v>
      </c>
      <c r="D989" t="s">
        <v>2249</v>
      </c>
      <c r="E989" t="s">
        <v>117</v>
      </c>
      <c r="F989" t="s">
        <v>88</v>
      </c>
      <c r="G989">
        <v>40.992221000000001</v>
      </c>
      <c r="H989">
        <v>-76.468329999999995</v>
      </c>
      <c r="I989">
        <v>0</v>
      </c>
      <c r="J989">
        <v>1</v>
      </c>
      <c r="K989" t="s">
        <v>99</v>
      </c>
      <c r="L989">
        <v>1</v>
      </c>
      <c r="M989" t="s">
        <v>90</v>
      </c>
      <c r="N989" t="s">
        <v>100</v>
      </c>
      <c r="O989" t="s">
        <v>92</v>
      </c>
      <c r="S989" t="s">
        <v>101</v>
      </c>
      <c r="T989" t="s">
        <v>102</v>
      </c>
      <c r="U989" t="s">
        <v>95</v>
      </c>
    </row>
    <row r="990" spans="1:21" x14ac:dyDescent="0.3">
      <c r="A990" t="s">
        <v>2250</v>
      </c>
      <c r="B990" s="6" t="str">
        <f>HYPERLINK("http://data.ntsb.gov/carol-repgen/api/Aviation/ReportMain/GenerateNewestReport/100346/pdf","AccidentReport")</f>
        <v>AccidentReport</v>
      </c>
      <c r="C990" t="s">
        <v>2248</v>
      </c>
      <c r="D990" t="s">
        <v>367</v>
      </c>
      <c r="E990" t="s">
        <v>734</v>
      </c>
      <c r="F990" t="s">
        <v>88</v>
      </c>
      <c r="G990">
        <v>43.393889999999999</v>
      </c>
      <c r="H990">
        <v>-70.708053000000007</v>
      </c>
      <c r="J990">
        <v>1</v>
      </c>
      <c r="K990" t="s">
        <v>99</v>
      </c>
      <c r="L990">
        <v>1</v>
      </c>
      <c r="M990" t="s">
        <v>90</v>
      </c>
      <c r="N990" t="s">
        <v>100</v>
      </c>
      <c r="O990" t="s">
        <v>92</v>
      </c>
      <c r="S990" t="s">
        <v>93</v>
      </c>
      <c r="T990" t="s">
        <v>102</v>
      </c>
      <c r="U990" t="s">
        <v>221</v>
      </c>
    </row>
    <row r="991" spans="1:21" x14ac:dyDescent="0.3">
      <c r="A991" t="s">
        <v>2251</v>
      </c>
      <c r="B991" s="6" t="str">
        <f>HYPERLINK("http://data.ntsb.gov/carol-repgen/api/Aviation/ReportMain/GenerateNewestReport/100353/pdf","AccidentReport")</f>
        <v>AccidentReport</v>
      </c>
      <c r="C991" t="s">
        <v>2248</v>
      </c>
      <c r="D991" t="s">
        <v>2252</v>
      </c>
      <c r="E991" t="s">
        <v>2253</v>
      </c>
      <c r="F991" t="s">
        <v>88</v>
      </c>
      <c r="G991">
        <v>44.534441999999999</v>
      </c>
      <c r="H991">
        <v>-72.613890999999995</v>
      </c>
      <c r="K991" t="s">
        <v>89</v>
      </c>
      <c r="L991">
        <v>1</v>
      </c>
      <c r="M991" t="s">
        <v>90</v>
      </c>
      <c r="N991" t="s">
        <v>91</v>
      </c>
      <c r="O991" t="s">
        <v>92</v>
      </c>
      <c r="S991" t="s">
        <v>108</v>
      </c>
      <c r="T991" t="s">
        <v>109</v>
      </c>
      <c r="U991" t="s">
        <v>95</v>
      </c>
    </row>
    <row r="992" spans="1:21" x14ac:dyDescent="0.3">
      <c r="A992" t="s">
        <v>2254</v>
      </c>
      <c r="B992" s="6" t="str">
        <f>HYPERLINK("http://data.ntsb.gov/carol-repgen/api/Aviation/ReportMain/GenerateNewestReport/100340/pdf","AccidentReport")</f>
        <v>AccidentReport</v>
      </c>
      <c r="C992" t="s">
        <v>2255</v>
      </c>
      <c r="D992" t="s">
        <v>2256</v>
      </c>
      <c r="E992" t="s">
        <v>98</v>
      </c>
      <c r="F992" t="s">
        <v>88</v>
      </c>
      <c r="G992">
        <v>29.024443999999999</v>
      </c>
      <c r="H992">
        <v>-81.344168999999994</v>
      </c>
      <c r="I992">
        <v>3</v>
      </c>
      <c r="K992" t="s">
        <v>107</v>
      </c>
      <c r="L992">
        <v>1</v>
      </c>
      <c r="M992" t="s">
        <v>147</v>
      </c>
      <c r="N992" t="s">
        <v>91</v>
      </c>
      <c r="O992" t="s">
        <v>92</v>
      </c>
      <c r="S992" t="s">
        <v>108</v>
      </c>
      <c r="T992" t="s">
        <v>102</v>
      </c>
      <c r="U992" t="s">
        <v>103</v>
      </c>
    </row>
    <row r="993" spans="1:21" x14ac:dyDescent="0.3">
      <c r="A993" t="s">
        <v>2257</v>
      </c>
      <c r="B993" s="6" t="str">
        <f>HYPERLINK("http://data.ntsb.gov/carol-repgen/api/Aviation/ReportMain/GenerateNewestReport/100679/pdf","AccidentReport")</f>
        <v>AccidentReport</v>
      </c>
      <c r="C993" t="s">
        <v>2258</v>
      </c>
      <c r="D993" t="s">
        <v>2259</v>
      </c>
      <c r="E993" t="s">
        <v>117</v>
      </c>
      <c r="F993" t="s">
        <v>88</v>
      </c>
      <c r="G993">
        <v>41.14611</v>
      </c>
      <c r="H993">
        <v>-80.168052000000003</v>
      </c>
      <c r="K993" t="s">
        <v>89</v>
      </c>
      <c r="L993">
        <v>1</v>
      </c>
      <c r="M993" t="s">
        <v>90</v>
      </c>
      <c r="N993" t="s">
        <v>91</v>
      </c>
      <c r="O993" t="s">
        <v>92</v>
      </c>
      <c r="S993" t="s">
        <v>108</v>
      </c>
      <c r="T993" t="s">
        <v>247</v>
      </c>
      <c r="U993" t="s">
        <v>95</v>
      </c>
    </row>
    <row r="994" spans="1:21" x14ac:dyDescent="0.3">
      <c r="A994" t="s">
        <v>2260</v>
      </c>
      <c r="B994" s="6" t="str">
        <f>HYPERLINK("http://data.ntsb.gov/carol-repgen/api/Aviation/ReportMain/GenerateNewestReport/100362/pdf","AccidentReport")</f>
        <v>AccidentReport</v>
      </c>
      <c r="C994" t="s">
        <v>2258</v>
      </c>
      <c r="D994" t="s">
        <v>2261</v>
      </c>
      <c r="E994" t="s">
        <v>402</v>
      </c>
      <c r="F994" t="s">
        <v>88</v>
      </c>
      <c r="G994">
        <v>33.929721000000001</v>
      </c>
      <c r="H994">
        <v>-78.735557</v>
      </c>
      <c r="K994" t="s">
        <v>89</v>
      </c>
      <c r="L994">
        <v>1</v>
      </c>
      <c r="M994" t="s">
        <v>90</v>
      </c>
      <c r="N994" t="s">
        <v>91</v>
      </c>
      <c r="O994" t="s">
        <v>92</v>
      </c>
      <c r="S994" t="s">
        <v>108</v>
      </c>
      <c r="T994" t="s">
        <v>159</v>
      </c>
      <c r="U994" t="s">
        <v>186</v>
      </c>
    </row>
    <row r="995" spans="1:21" x14ac:dyDescent="0.3">
      <c r="A995" t="s">
        <v>2262</v>
      </c>
      <c r="B995" s="6" t="str">
        <f>HYPERLINK("http://data.ntsb.gov/carol-repgen/api/Aviation/ReportMain/GenerateNewestReport/100356/pdf","AccidentReport")</f>
        <v>AccidentReport</v>
      </c>
      <c r="C995" t="s">
        <v>2263</v>
      </c>
      <c r="D995" t="s">
        <v>2264</v>
      </c>
      <c r="E995" t="s">
        <v>709</v>
      </c>
      <c r="F995" t="s">
        <v>88</v>
      </c>
      <c r="G995">
        <v>41.931666999999997</v>
      </c>
      <c r="H995">
        <v>-72.692222000000001</v>
      </c>
      <c r="I995">
        <v>7</v>
      </c>
      <c r="J995">
        <v>5</v>
      </c>
      <c r="K995" t="s">
        <v>107</v>
      </c>
      <c r="L995">
        <v>1</v>
      </c>
      <c r="M995" t="s">
        <v>147</v>
      </c>
      <c r="N995" t="s">
        <v>91</v>
      </c>
      <c r="O995" t="s">
        <v>92</v>
      </c>
      <c r="S995" t="s">
        <v>170</v>
      </c>
      <c r="T995" t="s">
        <v>499</v>
      </c>
      <c r="U995" t="s">
        <v>95</v>
      </c>
    </row>
    <row r="996" spans="1:21" x14ac:dyDescent="0.3">
      <c r="A996" t="s">
        <v>2265</v>
      </c>
      <c r="B996" s="6" t="str">
        <f>HYPERLINK("http://data.ntsb.gov/carol-repgen/api/Aviation/ReportMain/GenerateNewestReport/100373/pdf","AccidentReport")</f>
        <v>AccidentReport</v>
      </c>
      <c r="C996" t="s">
        <v>2263</v>
      </c>
      <c r="D996" t="s">
        <v>2266</v>
      </c>
      <c r="E996" t="s">
        <v>106</v>
      </c>
      <c r="F996" t="s">
        <v>88</v>
      </c>
      <c r="G996">
        <v>33.128334000000002</v>
      </c>
      <c r="H996">
        <v>-117.27999800000001</v>
      </c>
      <c r="K996" t="s">
        <v>89</v>
      </c>
      <c r="L996">
        <v>1</v>
      </c>
      <c r="M996" t="s">
        <v>90</v>
      </c>
      <c r="N996" t="s">
        <v>100</v>
      </c>
      <c r="O996" t="s">
        <v>92</v>
      </c>
      <c r="S996" t="s">
        <v>93</v>
      </c>
      <c r="T996" t="s">
        <v>109</v>
      </c>
      <c r="U996" t="s">
        <v>95</v>
      </c>
    </row>
    <row r="997" spans="1:21" x14ac:dyDescent="0.3">
      <c r="A997" t="s">
        <v>2267</v>
      </c>
      <c r="B997" s="6" t="str">
        <f>HYPERLINK("http://data.ntsb.gov/carol-repgen/api/Aviation/ReportMain/GenerateNewestReport/100359/pdf","AccidentReport")</f>
        <v>AccidentReport</v>
      </c>
      <c r="C997" t="s">
        <v>2268</v>
      </c>
      <c r="D997" t="s">
        <v>2269</v>
      </c>
      <c r="E997" t="s">
        <v>138</v>
      </c>
      <c r="F997" t="s">
        <v>88</v>
      </c>
      <c r="G997">
        <v>42.780276999999998</v>
      </c>
      <c r="H997">
        <v>-84.606109000000004</v>
      </c>
      <c r="I997">
        <v>5</v>
      </c>
      <c r="J997">
        <v>1</v>
      </c>
      <c r="K997" t="s">
        <v>107</v>
      </c>
      <c r="L997">
        <v>1</v>
      </c>
      <c r="M997" t="s">
        <v>90</v>
      </c>
      <c r="N997" t="s">
        <v>91</v>
      </c>
      <c r="O997" t="s">
        <v>92</v>
      </c>
      <c r="S997" t="s">
        <v>173</v>
      </c>
      <c r="T997" t="s">
        <v>102</v>
      </c>
      <c r="U997" t="s">
        <v>119</v>
      </c>
    </row>
    <row r="998" spans="1:21" x14ac:dyDescent="0.3">
      <c r="A998" t="s">
        <v>2270</v>
      </c>
      <c r="B998" s="6" t="str">
        <f>HYPERLINK("http://data.ntsb.gov/carol-repgen/api/Aviation/ReportMain/GenerateNewestReport/100372/pdf","AccidentReport")</f>
        <v>AccidentReport</v>
      </c>
      <c r="C998" t="s">
        <v>2268</v>
      </c>
      <c r="D998" t="s">
        <v>2176</v>
      </c>
      <c r="E998" t="s">
        <v>98</v>
      </c>
      <c r="F998" t="s">
        <v>88</v>
      </c>
      <c r="G998">
        <v>27.702221999999999</v>
      </c>
      <c r="H998">
        <v>-81.768889999999999</v>
      </c>
      <c r="K998" t="s">
        <v>89</v>
      </c>
      <c r="L998">
        <v>1</v>
      </c>
      <c r="M998" t="s">
        <v>90</v>
      </c>
      <c r="N998" t="s">
        <v>100</v>
      </c>
      <c r="O998" t="s">
        <v>295</v>
      </c>
      <c r="S998" t="s">
        <v>531</v>
      </c>
      <c r="T998" t="s">
        <v>94</v>
      </c>
      <c r="U998" t="s">
        <v>103</v>
      </c>
    </row>
    <row r="999" spans="1:21" x14ac:dyDescent="0.3">
      <c r="A999" t="s">
        <v>2271</v>
      </c>
      <c r="B999" s="6" t="str">
        <f>HYPERLINK("http://data.ntsb.gov/carol-repgen/api/Aviation/ReportMain/GenerateNewestReport/100374/pdf","AccidentReport")</f>
        <v>AccidentReport</v>
      </c>
      <c r="C999" t="s">
        <v>2268</v>
      </c>
      <c r="D999" t="s">
        <v>2176</v>
      </c>
      <c r="E999" t="s">
        <v>98</v>
      </c>
      <c r="F999" t="s">
        <v>88</v>
      </c>
      <c r="G999">
        <v>27.701664999999998</v>
      </c>
      <c r="H999">
        <v>-81.786108999999996</v>
      </c>
      <c r="K999" t="s">
        <v>89</v>
      </c>
      <c r="L999">
        <v>1</v>
      </c>
      <c r="M999" t="s">
        <v>90</v>
      </c>
      <c r="N999" t="s">
        <v>862</v>
      </c>
      <c r="O999" t="s">
        <v>92</v>
      </c>
      <c r="S999" t="s">
        <v>93</v>
      </c>
      <c r="T999" t="s">
        <v>159</v>
      </c>
      <c r="U999" t="s">
        <v>186</v>
      </c>
    </row>
    <row r="1000" spans="1:21" x14ac:dyDescent="0.3">
      <c r="A1000" t="s">
        <v>2272</v>
      </c>
      <c r="B1000" s="6" t="str">
        <f>HYPERLINK("http://data.ntsb.gov/carol-repgen/api/Aviation/ReportMain/GenerateNewestReport/100365/pdf","AccidentReport")</f>
        <v>AccidentReport</v>
      </c>
      <c r="C1000" t="s">
        <v>2273</v>
      </c>
      <c r="D1000" t="s">
        <v>2274</v>
      </c>
      <c r="E1000" t="s">
        <v>206</v>
      </c>
      <c r="F1000" t="s">
        <v>88</v>
      </c>
      <c r="G1000">
        <v>35.615276000000001</v>
      </c>
      <c r="H1000">
        <v>-79.882225000000005</v>
      </c>
      <c r="I1000">
        <v>2</v>
      </c>
      <c r="K1000" t="s">
        <v>107</v>
      </c>
      <c r="L1000">
        <v>1</v>
      </c>
      <c r="M1000" t="s">
        <v>147</v>
      </c>
      <c r="N1000" t="s">
        <v>91</v>
      </c>
      <c r="O1000" t="s">
        <v>92</v>
      </c>
      <c r="S1000" t="s">
        <v>108</v>
      </c>
      <c r="T1000" t="s">
        <v>102</v>
      </c>
      <c r="U1000" t="s">
        <v>103</v>
      </c>
    </row>
    <row r="1001" spans="1:21" x14ac:dyDescent="0.3">
      <c r="A1001" t="s">
        <v>2275</v>
      </c>
      <c r="B1001" s="6" t="str">
        <f>HYPERLINK("http://data.ntsb.gov/carol-repgen/api/Aviation/ReportMain/GenerateNewestReport/100432/pdf","AccidentReport")</f>
        <v>AccidentReport</v>
      </c>
      <c r="C1001" t="s">
        <v>2273</v>
      </c>
      <c r="D1001" t="s">
        <v>2276</v>
      </c>
      <c r="E1001" t="s">
        <v>117</v>
      </c>
      <c r="F1001" t="s">
        <v>88</v>
      </c>
      <c r="G1001">
        <v>40.176108999999997</v>
      </c>
      <c r="H1001">
        <v>-76.726943000000006</v>
      </c>
      <c r="K1001" t="s">
        <v>155</v>
      </c>
      <c r="L1001">
        <v>1</v>
      </c>
      <c r="M1001" t="s">
        <v>90</v>
      </c>
      <c r="N1001" t="s">
        <v>91</v>
      </c>
      <c r="O1001" t="s">
        <v>92</v>
      </c>
      <c r="S1001" t="s">
        <v>108</v>
      </c>
      <c r="T1001" t="s">
        <v>159</v>
      </c>
      <c r="U1001" t="s">
        <v>119</v>
      </c>
    </row>
    <row r="1002" spans="1:21" x14ac:dyDescent="0.3">
      <c r="A1002" t="s">
        <v>2277</v>
      </c>
      <c r="B1002" s="6" t="str">
        <f>HYPERLINK("http://data.ntsb.gov/carol-repgen/api/Aviation/ReportMain/GenerateNewestReport/100375/pdf","AccidentReport")</f>
        <v>AccidentReport</v>
      </c>
      <c r="C1002" t="s">
        <v>2273</v>
      </c>
      <c r="D1002" t="s">
        <v>2278</v>
      </c>
      <c r="E1002" t="s">
        <v>106</v>
      </c>
      <c r="F1002" t="s">
        <v>88</v>
      </c>
      <c r="G1002">
        <v>33.630001</v>
      </c>
      <c r="H1002">
        <v>-117.301666</v>
      </c>
      <c r="K1002" t="s">
        <v>89</v>
      </c>
      <c r="L1002">
        <v>1</v>
      </c>
      <c r="M1002" t="s">
        <v>90</v>
      </c>
      <c r="N1002" t="s">
        <v>91</v>
      </c>
      <c r="O1002" t="s">
        <v>92</v>
      </c>
      <c r="S1002" t="s">
        <v>108</v>
      </c>
      <c r="T1002" t="s">
        <v>109</v>
      </c>
      <c r="U1002" t="s">
        <v>221</v>
      </c>
    </row>
    <row r="1003" spans="1:21" x14ac:dyDescent="0.3">
      <c r="A1003" t="s">
        <v>2279</v>
      </c>
      <c r="B1003" s="6" t="str">
        <f>HYPERLINK("http://data.ntsb.gov/carol-repgen/api/Aviation/ReportMain/GenerateNewestReport/100389/pdf","AccidentReport")</f>
        <v>AccidentReport</v>
      </c>
      <c r="C1003" t="s">
        <v>2273</v>
      </c>
      <c r="D1003" t="s">
        <v>2280</v>
      </c>
      <c r="E1003" t="s">
        <v>228</v>
      </c>
      <c r="F1003" t="s">
        <v>88</v>
      </c>
      <c r="G1003">
        <v>29.937221000000001</v>
      </c>
      <c r="H1003">
        <v>-92.319725000000005</v>
      </c>
      <c r="K1003" t="s">
        <v>155</v>
      </c>
      <c r="L1003">
        <v>1</v>
      </c>
      <c r="M1003" t="s">
        <v>90</v>
      </c>
      <c r="N1003" t="s">
        <v>91</v>
      </c>
      <c r="O1003" t="s">
        <v>92</v>
      </c>
      <c r="S1003" t="s">
        <v>108</v>
      </c>
      <c r="T1003" t="s">
        <v>159</v>
      </c>
      <c r="U1003" t="s">
        <v>186</v>
      </c>
    </row>
    <row r="1004" spans="1:21" x14ac:dyDescent="0.3">
      <c r="A1004" t="s">
        <v>2281</v>
      </c>
      <c r="B1004" s="6" t="str">
        <f>HYPERLINK("http://data.ntsb.gov/carol-repgen/api/Aviation/ReportMain/GenerateNewestReport/100366/pdf","AccidentReport")</f>
        <v>AccidentReport</v>
      </c>
      <c r="C1004" t="s">
        <v>2282</v>
      </c>
      <c r="D1004" t="s">
        <v>2283</v>
      </c>
      <c r="E1004" t="s">
        <v>349</v>
      </c>
      <c r="F1004" t="s">
        <v>88</v>
      </c>
      <c r="G1004">
        <v>40.474997999999999</v>
      </c>
      <c r="H1004">
        <v>-86.063331000000005</v>
      </c>
      <c r="I1004">
        <v>1</v>
      </c>
      <c r="K1004" t="s">
        <v>107</v>
      </c>
      <c r="L1004">
        <v>1</v>
      </c>
      <c r="M1004" t="s">
        <v>147</v>
      </c>
      <c r="N1004" t="s">
        <v>91</v>
      </c>
      <c r="O1004" t="s">
        <v>92</v>
      </c>
      <c r="S1004" t="s">
        <v>173</v>
      </c>
      <c r="T1004" t="s">
        <v>102</v>
      </c>
      <c r="U1004" t="s">
        <v>103</v>
      </c>
    </row>
    <row r="1005" spans="1:21" x14ac:dyDescent="0.3">
      <c r="A1005" t="s">
        <v>2284</v>
      </c>
      <c r="B1005" s="6" t="str">
        <f>HYPERLINK("http://data.ntsb.gov/carol-repgen/api/Aviation/ReportMain/GenerateNewestReport/100399/pdf","AccidentReport")</f>
        <v>AccidentReport</v>
      </c>
      <c r="C1005" t="s">
        <v>2282</v>
      </c>
      <c r="D1005" t="s">
        <v>2285</v>
      </c>
      <c r="E1005" t="s">
        <v>154</v>
      </c>
      <c r="F1005" t="s">
        <v>88</v>
      </c>
      <c r="G1005">
        <v>29.621943999999999</v>
      </c>
      <c r="H1005">
        <v>-98.277220999999997</v>
      </c>
      <c r="K1005" t="s">
        <v>89</v>
      </c>
      <c r="L1005">
        <v>1</v>
      </c>
      <c r="M1005" t="s">
        <v>90</v>
      </c>
      <c r="N1005" t="s">
        <v>91</v>
      </c>
      <c r="O1005" t="s">
        <v>92</v>
      </c>
      <c r="S1005" t="s">
        <v>108</v>
      </c>
      <c r="T1005" t="s">
        <v>159</v>
      </c>
      <c r="U1005" t="s">
        <v>150</v>
      </c>
    </row>
    <row r="1006" spans="1:21" x14ac:dyDescent="0.3">
      <c r="A1006" t="s">
        <v>2286</v>
      </c>
      <c r="B1006" s="6" t="str">
        <f>HYPERLINK("http://data.ntsb.gov/carol-repgen/api/Aviation/ReportMain/GenerateNewestReport/100367/pdf","AccidentReport")</f>
        <v>AccidentReport</v>
      </c>
      <c r="C1006" t="s">
        <v>2282</v>
      </c>
      <c r="D1006" t="s">
        <v>2287</v>
      </c>
      <c r="E1006" t="s">
        <v>98</v>
      </c>
      <c r="F1006" t="s">
        <v>88</v>
      </c>
      <c r="G1006">
        <v>25.999444</v>
      </c>
      <c r="H1006">
        <v>-80.468329999999995</v>
      </c>
      <c r="I1006">
        <v>0</v>
      </c>
      <c r="J1006">
        <v>2</v>
      </c>
      <c r="K1006" t="s">
        <v>99</v>
      </c>
      <c r="L1006">
        <v>1</v>
      </c>
      <c r="M1006" t="s">
        <v>90</v>
      </c>
      <c r="N1006" t="s">
        <v>91</v>
      </c>
      <c r="O1006" t="s">
        <v>92</v>
      </c>
      <c r="S1006" t="s">
        <v>93</v>
      </c>
      <c r="T1006" t="s">
        <v>102</v>
      </c>
      <c r="U1006" t="s">
        <v>103</v>
      </c>
    </row>
    <row r="1007" spans="1:21" x14ac:dyDescent="0.3">
      <c r="A1007" t="s">
        <v>2288</v>
      </c>
      <c r="B1007" s="6" t="str">
        <f>HYPERLINK("http://data.ntsb.gov/carol-repgen/api/Aviation/ReportMain/GenerateNewestReport/100376/pdf","AccidentReport")</f>
        <v>AccidentReport</v>
      </c>
      <c r="C1007" t="s">
        <v>2282</v>
      </c>
      <c r="D1007" t="s">
        <v>2289</v>
      </c>
      <c r="E1007" t="s">
        <v>122</v>
      </c>
      <c r="F1007" t="s">
        <v>88</v>
      </c>
      <c r="G1007">
        <v>42.750278000000002</v>
      </c>
      <c r="H1007">
        <v>-116.67471999999999</v>
      </c>
      <c r="K1007" t="s">
        <v>89</v>
      </c>
      <c r="L1007">
        <v>1</v>
      </c>
      <c r="M1007" t="s">
        <v>90</v>
      </c>
      <c r="N1007" t="s">
        <v>91</v>
      </c>
      <c r="O1007" t="s">
        <v>92</v>
      </c>
      <c r="S1007" t="s">
        <v>108</v>
      </c>
      <c r="T1007" t="s">
        <v>94</v>
      </c>
      <c r="U1007" t="s">
        <v>95</v>
      </c>
    </row>
    <row r="1008" spans="1:21" x14ac:dyDescent="0.3">
      <c r="A1008" t="s">
        <v>2290</v>
      </c>
      <c r="B1008" s="6" t="str">
        <f>HYPERLINK("http://data.ntsb.gov/carol-repgen/api/Aviation/ReportMain/GenerateNewestReport/100378/pdf","AccidentReport")</f>
        <v>AccidentReport</v>
      </c>
      <c r="C1008" t="s">
        <v>2282</v>
      </c>
      <c r="D1008" t="s">
        <v>2291</v>
      </c>
      <c r="E1008" t="s">
        <v>154</v>
      </c>
      <c r="F1008" t="s">
        <v>88</v>
      </c>
      <c r="G1008">
        <v>32.068331999999998</v>
      </c>
      <c r="H1008">
        <v>-98.325278999999995</v>
      </c>
      <c r="K1008" t="s">
        <v>89</v>
      </c>
      <c r="L1008">
        <v>1</v>
      </c>
      <c r="M1008" t="s">
        <v>90</v>
      </c>
      <c r="N1008" t="s">
        <v>862</v>
      </c>
      <c r="O1008" t="s">
        <v>92</v>
      </c>
      <c r="S1008" t="s">
        <v>108</v>
      </c>
      <c r="T1008" t="s">
        <v>102</v>
      </c>
      <c r="U1008" t="s">
        <v>95</v>
      </c>
    </row>
    <row r="1009" spans="1:21" x14ac:dyDescent="0.3">
      <c r="A1009" t="s">
        <v>2292</v>
      </c>
      <c r="B1009" s="6" t="str">
        <f>HYPERLINK("http://data.ntsb.gov/carol-repgen/api/Aviation/ReportMain/GenerateNewestReport/100371/pdf","AccidentReport")</f>
        <v>AccidentReport</v>
      </c>
      <c r="C1009" t="s">
        <v>2282</v>
      </c>
      <c r="D1009" t="s">
        <v>2293</v>
      </c>
      <c r="E1009" t="s">
        <v>192</v>
      </c>
      <c r="F1009" t="s">
        <v>88</v>
      </c>
      <c r="G1009">
        <v>38.953887000000002</v>
      </c>
      <c r="H1009">
        <v>-110.996391</v>
      </c>
      <c r="I1009">
        <v>1</v>
      </c>
      <c r="K1009" t="s">
        <v>107</v>
      </c>
      <c r="L1009">
        <v>1</v>
      </c>
      <c r="M1009" t="s">
        <v>90</v>
      </c>
      <c r="N1009" t="s">
        <v>748</v>
      </c>
      <c r="O1009" t="s">
        <v>92</v>
      </c>
      <c r="S1009" t="s">
        <v>108</v>
      </c>
      <c r="T1009" t="s">
        <v>381</v>
      </c>
      <c r="U1009" t="s">
        <v>248</v>
      </c>
    </row>
    <row r="1010" spans="1:21" x14ac:dyDescent="0.3">
      <c r="A1010" t="s">
        <v>2294</v>
      </c>
      <c r="B1010" s="6" t="str">
        <f>HYPERLINK("http://data.ntsb.gov/carol-repgen/api/Aviation/ReportMain/GenerateNewestReport/100368/pdf","AccidentReport")</f>
        <v>AccidentReport</v>
      </c>
      <c r="C1010" t="s">
        <v>2295</v>
      </c>
      <c r="D1010" t="s">
        <v>2296</v>
      </c>
      <c r="E1010" t="s">
        <v>457</v>
      </c>
      <c r="F1010" t="s">
        <v>88</v>
      </c>
      <c r="G1010">
        <v>37.361389000000003</v>
      </c>
      <c r="H1010">
        <v>-91.066946999999999</v>
      </c>
      <c r="I1010">
        <v>1</v>
      </c>
      <c r="K1010" t="s">
        <v>107</v>
      </c>
      <c r="L1010">
        <v>1</v>
      </c>
      <c r="M1010" t="s">
        <v>90</v>
      </c>
      <c r="N1010" t="s">
        <v>91</v>
      </c>
      <c r="O1010" t="s">
        <v>92</v>
      </c>
      <c r="S1010" t="s">
        <v>108</v>
      </c>
      <c r="T1010" t="s">
        <v>279</v>
      </c>
      <c r="U1010" t="s">
        <v>186</v>
      </c>
    </row>
    <row r="1011" spans="1:21" x14ac:dyDescent="0.3">
      <c r="A1011" t="s">
        <v>2297</v>
      </c>
      <c r="B1011" s="6" t="str">
        <f>HYPERLINK("http://data.ntsb.gov/carol-repgen/api/Aviation/ReportMain/GenerateNewestReport/100384/pdf","AccidentReport")</f>
        <v>AccidentReport</v>
      </c>
      <c r="C1011" t="s">
        <v>2295</v>
      </c>
      <c r="D1011" t="s">
        <v>2298</v>
      </c>
      <c r="E1011" t="s">
        <v>154</v>
      </c>
      <c r="F1011" t="s">
        <v>88</v>
      </c>
      <c r="G1011">
        <v>32.447498000000003</v>
      </c>
      <c r="H1011">
        <v>-98.682777000000002</v>
      </c>
      <c r="I1011">
        <v>0</v>
      </c>
      <c r="J1011">
        <v>0</v>
      </c>
      <c r="K1011" t="s">
        <v>89</v>
      </c>
      <c r="L1011">
        <v>1</v>
      </c>
      <c r="M1011" t="s">
        <v>90</v>
      </c>
      <c r="N1011" t="s">
        <v>91</v>
      </c>
      <c r="O1011" t="s">
        <v>92</v>
      </c>
      <c r="S1011" t="s">
        <v>108</v>
      </c>
      <c r="T1011" t="s">
        <v>159</v>
      </c>
      <c r="U1011" t="s">
        <v>150</v>
      </c>
    </row>
    <row r="1012" spans="1:21" x14ac:dyDescent="0.3">
      <c r="A1012" t="s">
        <v>2299</v>
      </c>
      <c r="B1012" s="6" t="str">
        <f>HYPERLINK("http://data.ntsb.gov/carol-repgen/api/Aviation/ReportMain/GenerateNewestReport/100381/pdf","AccidentReport")</f>
        <v>AccidentReport</v>
      </c>
      <c r="C1012" t="s">
        <v>2295</v>
      </c>
      <c r="D1012" t="s">
        <v>2148</v>
      </c>
      <c r="E1012" t="s">
        <v>125</v>
      </c>
      <c r="F1012" t="s">
        <v>88</v>
      </c>
      <c r="G1012">
        <v>32.43</v>
      </c>
      <c r="H1012">
        <v>-111.389999</v>
      </c>
      <c r="K1012" t="s">
        <v>155</v>
      </c>
      <c r="L1012">
        <v>1</v>
      </c>
      <c r="M1012" t="s">
        <v>90</v>
      </c>
      <c r="N1012" t="s">
        <v>893</v>
      </c>
      <c r="O1012" t="s">
        <v>92</v>
      </c>
      <c r="S1012" t="s">
        <v>108</v>
      </c>
      <c r="T1012" t="s">
        <v>139</v>
      </c>
      <c r="U1012" t="s">
        <v>103</v>
      </c>
    </row>
    <row r="1013" spans="1:21" x14ac:dyDescent="0.3">
      <c r="A1013" t="s">
        <v>2300</v>
      </c>
      <c r="B1013" s="6" t="str">
        <f>HYPERLINK("http://data.ntsb.gov/carol-repgen/api/Aviation/ReportMain/GenerateNewestReport/100391/pdf","AccidentReport")</f>
        <v>AccidentReport</v>
      </c>
      <c r="C1013" t="s">
        <v>2301</v>
      </c>
      <c r="D1013" t="s">
        <v>2046</v>
      </c>
      <c r="E1013" t="s">
        <v>402</v>
      </c>
      <c r="F1013" t="s">
        <v>88</v>
      </c>
      <c r="G1013">
        <v>26.189088000000002</v>
      </c>
      <c r="H1013">
        <v>-80.170738</v>
      </c>
      <c r="K1013" t="s">
        <v>89</v>
      </c>
      <c r="L1013">
        <v>1</v>
      </c>
      <c r="M1013" t="s">
        <v>90</v>
      </c>
      <c r="N1013" t="s">
        <v>91</v>
      </c>
      <c r="O1013" t="s">
        <v>92</v>
      </c>
      <c r="S1013" t="s">
        <v>498</v>
      </c>
      <c r="T1013" t="s">
        <v>109</v>
      </c>
      <c r="U1013" t="s">
        <v>95</v>
      </c>
    </row>
    <row r="1014" spans="1:21" x14ac:dyDescent="0.3">
      <c r="A1014" t="s">
        <v>2302</v>
      </c>
      <c r="B1014" s="6" t="str">
        <f>HYPERLINK("http://data.ntsb.gov/carol-repgen/api/Aviation/ReportMain/GenerateNewestReport/100390/pdf","AccidentReport")</f>
        <v>AccidentReport</v>
      </c>
      <c r="C1014" t="s">
        <v>2301</v>
      </c>
      <c r="D1014" t="s">
        <v>2303</v>
      </c>
      <c r="E1014" t="s">
        <v>233</v>
      </c>
      <c r="F1014" t="s">
        <v>88</v>
      </c>
      <c r="G1014">
        <v>56.938609999999997</v>
      </c>
      <c r="H1014">
        <v>-154.18249499999999</v>
      </c>
      <c r="K1014" t="s">
        <v>89</v>
      </c>
      <c r="L1014">
        <v>1</v>
      </c>
      <c r="M1014" t="s">
        <v>90</v>
      </c>
      <c r="N1014" t="s">
        <v>91</v>
      </c>
      <c r="O1014" t="s">
        <v>92</v>
      </c>
      <c r="S1014" t="s">
        <v>166</v>
      </c>
      <c r="T1014" t="s">
        <v>102</v>
      </c>
      <c r="U1014" t="s">
        <v>95</v>
      </c>
    </row>
    <row r="1015" spans="1:21" x14ac:dyDescent="0.3">
      <c r="A1015" t="s">
        <v>2304</v>
      </c>
      <c r="B1015" s="6" t="str">
        <f>HYPERLINK("http://data.ntsb.gov/carol-repgen/api/Aviation/ReportMain/GenerateNewestReport/100407/pdf","AccidentReport")</f>
        <v>AccidentReport</v>
      </c>
      <c r="C1015" t="s">
        <v>2301</v>
      </c>
      <c r="D1015" t="s">
        <v>2305</v>
      </c>
      <c r="E1015" t="s">
        <v>290</v>
      </c>
      <c r="F1015" t="s">
        <v>88</v>
      </c>
      <c r="G1015">
        <v>39.499167999999997</v>
      </c>
      <c r="H1015">
        <v>-118.748886</v>
      </c>
      <c r="K1015" t="s">
        <v>89</v>
      </c>
      <c r="L1015">
        <v>1</v>
      </c>
      <c r="M1015" t="s">
        <v>90</v>
      </c>
      <c r="N1015" t="s">
        <v>91</v>
      </c>
      <c r="O1015" t="s">
        <v>92</v>
      </c>
      <c r="S1015" t="s">
        <v>108</v>
      </c>
      <c r="T1015" t="s">
        <v>159</v>
      </c>
      <c r="U1015" t="s">
        <v>119</v>
      </c>
    </row>
    <row r="1016" spans="1:21" x14ac:dyDescent="0.3">
      <c r="A1016" t="s">
        <v>2306</v>
      </c>
      <c r="B1016" s="6" t="str">
        <f>HYPERLINK("http://data.ntsb.gov/carol-repgen/api/Aviation/ReportMain/GenerateNewestReport/100410/pdf","AccidentReport")</f>
        <v>AccidentReport</v>
      </c>
      <c r="C1016" t="s">
        <v>2301</v>
      </c>
      <c r="D1016" t="s">
        <v>2307</v>
      </c>
      <c r="E1016" t="s">
        <v>128</v>
      </c>
      <c r="F1016" t="s">
        <v>88</v>
      </c>
      <c r="G1016">
        <v>35.241664</v>
      </c>
      <c r="H1016">
        <v>-106.767776</v>
      </c>
      <c r="K1016" t="s">
        <v>155</v>
      </c>
      <c r="L1016">
        <v>1</v>
      </c>
      <c r="M1016" t="s">
        <v>147</v>
      </c>
      <c r="N1016" t="s">
        <v>670</v>
      </c>
      <c r="O1016" t="s">
        <v>92</v>
      </c>
      <c r="S1016" t="s">
        <v>2124</v>
      </c>
      <c r="T1016" t="s">
        <v>109</v>
      </c>
      <c r="U1016" t="s">
        <v>95</v>
      </c>
    </row>
    <row r="1017" spans="1:21" x14ac:dyDescent="0.3">
      <c r="A1017" t="s">
        <v>2308</v>
      </c>
      <c r="B1017" s="6" t="str">
        <f>HYPERLINK("http://data.ntsb.gov/carol-repgen/api/Aviation/ReportMain/GenerateNewestReport/100402/pdf","AccidentReport")</f>
        <v>AccidentReport</v>
      </c>
      <c r="C1017" t="s">
        <v>2309</v>
      </c>
      <c r="D1017" t="s">
        <v>2310</v>
      </c>
      <c r="E1017" t="s">
        <v>203</v>
      </c>
      <c r="F1017" t="s">
        <v>88</v>
      </c>
      <c r="G1017">
        <v>43.032775000000001</v>
      </c>
      <c r="H1017">
        <v>-88.234724999999997</v>
      </c>
      <c r="K1017" t="s">
        <v>89</v>
      </c>
      <c r="L1017">
        <v>1</v>
      </c>
      <c r="M1017" t="s">
        <v>90</v>
      </c>
      <c r="N1017" t="s">
        <v>91</v>
      </c>
      <c r="O1017" t="s">
        <v>92</v>
      </c>
      <c r="S1017" t="s">
        <v>108</v>
      </c>
      <c r="T1017" t="s">
        <v>159</v>
      </c>
      <c r="U1017" t="s">
        <v>248</v>
      </c>
    </row>
    <row r="1018" spans="1:21" x14ac:dyDescent="0.3">
      <c r="A1018" t="s">
        <v>2311</v>
      </c>
      <c r="B1018" s="6" t="str">
        <f>HYPERLINK("http://data.ntsb.gov/carol-repgen/api/Aviation/ReportMain/GenerateNewestReport/100392/pdf","AccidentReport")</f>
        <v>AccidentReport</v>
      </c>
      <c r="C1018" t="s">
        <v>2309</v>
      </c>
      <c r="D1018" t="s">
        <v>1814</v>
      </c>
      <c r="E1018" t="s">
        <v>106</v>
      </c>
      <c r="F1018" t="s">
        <v>88</v>
      </c>
      <c r="G1018">
        <v>34.213611</v>
      </c>
      <c r="H1018">
        <v>-119.09444000000001</v>
      </c>
      <c r="I1018">
        <v>1</v>
      </c>
      <c r="K1018" t="s">
        <v>107</v>
      </c>
      <c r="L1018">
        <v>1</v>
      </c>
      <c r="M1018" t="s">
        <v>90</v>
      </c>
      <c r="N1018" t="s">
        <v>91</v>
      </c>
      <c r="O1018" t="s">
        <v>92</v>
      </c>
      <c r="S1018" t="s">
        <v>108</v>
      </c>
      <c r="T1018" t="s">
        <v>159</v>
      </c>
      <c r="U1018" t="s">
        <v>119</v>
      </c>
    </row>
    <row r="1019" spans="1:21" x14ac:dyDescent="0.3">
      <c r="A1019" t="s">
        <v>2312</v>
      </c>
      <c r="B1019" s="6" t="str">
        <f>HYPERLINK("http://data.ntsb.gov/carol-repgen/api/Aviation/ReportMain/GenerateNewestReport/100465/pdf","AccidentReport")</f>
        <v>AccidentReport</v>
      </c>
      <c r="C1019" t="s">
        <v>2313</v>
      </c>
      <c r="D1019" t="s">
        <v>410</v>
      </c>
      <c r="E1019" t="s">
        <v>180</v>
      </c>
      <c r="F1019" t="s">
        <v>88</v>
      </c>
      <c r="G1019">
        <v>45.561667999999997</v>
      </c>
      <c r="H1019">
        <v>-98.460280999999995</v>
      </c>
      <c r="I1019">
        <v>1</v>
      </c>
      <c r="K1019" t="s">
        <v>107</v>
      </c>
      <c r="L1019">
        <v>1</v>
      </c>
      <c r="M1019" t="s">
        <v>147</v>
      </c>
      <c r="N1019" t="s">
        <v>91</v>
      </c>
      <c r="O1019" t="s">
        <v>92</v>
      </c>
      <c r="S1019" t="s">
        <v>108</v>
      </c>
      <c r="T1019" t="s">
        <v>381</v>
      </c>
      <c r="U1019" t="s">
        <v>381</v>
      </c>
    </row>
    <row r="1020" spans="1:21" x14ac:dyDescent="0.3">
      <c r="A1020" t="s">
        <v>2314</v>
      </c>
      <c r="B1020" s="6" t="str">
        <f>HYPERLINK("http://data.ntsb.gov/carol-repgen/api/Aviation/ReportMain/GenerateNewestReport/100396/pdf","AccidentReport")</f>
        <v>AccidentReport</v>
      </c>
      <c r="C1020" t="s">
        <v>2313</v>
      </c>
      <c r="D1020" t="s">
        <v>2315</v>
      </c>
      <c r="E1020" t="s">
        <v>146</v>
      </c>
      <c r="F1020" t="s">
        <v>88</v>
      </c>
      <c r="G1020">
        <v>35.196666</v>
      </c>
      <c r="H1020">
        <v>-89.396384999999995</v>
      </c>
      <c r="K1020" t="s">
        <v>89</v>
      </c>
      <c r="L1020">
        <v>1</v>
      </c>
      <c r="M1020" t="s">
        <v>90</v>
      </c>
      <c r="N1020" t="s">
        <v>91</v>
      </c>
      <c r="O1020" t="s">
        <v>92</v>
      </c>
      <c r="S1020" t="s">
        <v>108</v>
      </c>
      <c r="T1020" t="s">
        <v>411</v>
      </c>
      <c r="U1020" t="s">
        <v>248</v>
      </c>
    </row>
    <row r="1021" spans="1:21" x14ac:dyDescent="0.3">
      <c r="A1021" t="s">
        <v>2316</v>
      </c>
      <c r="B1021" s="6" t="str">
        <f>HYPERLINK("http://data.ntsb.gov/carol-repgen/api/Aviation/ReportMain/GenerateNewestReport/100404/pdf","AccidentReport")</f>
        <v>AccidentReport</v>
      </c>
      <c r="C1021" t="s">
        <v>2317</v>
      </c>
      <c r="D1021" t="s">
        <v>2318</v>
      </c>
      <c r="E1021" t="s">
        <v>651</v>
      </c>
      <c r="F1021" t="s">
        <v>88</v>
      </c>
      <c r="G1021">
        <v>42.117221000000001</v>
      </c>
      <c r="H1021">
        <v>-76.918334000000002</v>
      </c>
      <c r="K1021" t="s">
        <v>89</v>
      </c>
      <c r="L1021">
        <v>1</v>
      </c>
      <c r="M1021" t="s">
        <v>90</v>
      </c>
      <c r="N1021" t="s">
        <v>91</v>
      </c>
      <c r="O1021" t="s">
        <v>92</v>
      </c>
      <c r="S1021" t="s">
        <v>433</v>
      </c>
      <c r="T1021" t="s">
        <v>411</v>
      </c>
      <c r="U1021" t="s">
        <v>248</v>
      </c>
    </row>
    <row r="1022" spans="1:21" x14ac:dyDescent="0.3">
      <c r="A1022" t="s">
        <v>2319</v>
      </c>
      <c r="B1022" s="6" t="str">
        <f>HYPERLINK("http://data.ntsb.gov/carol-repgen/api/Aviation/ReportMain/GenerateNewestReport/100405/pdf","AccidentReport")</f>
        <v>AccidentReport</v>
      </c>
      <c r="C1022" t="s">
        <v>2317</v>
      </c>
      <c r="D1022" t="s">
        <v>2320</v>
      </c>
      <c r="E1022" t="s">
        <v>117</v>
      </c>
      <c r="F1022" t="s">
        <v>88</v>
      </c>
      <c r="G1022">
        <v>39.901111</v>
      </c>
      <c r="H1022">
        <v>-80.130554000000004</v>
      </c>
      <c r="K1022" t="s">
        <v>89</v>
      </c>
      <c r="L1022">
        <v>1</v>
      </c>
      <c r="M1022" t="s">
        <v>90</v>
      </c>
      <c r="N1022" t="s">
        <v>91</v>
      </c>
      <c r="O1022" t="s">
        <v>92</v>
      </c>
      <c r="S1022" t="s">
        <v>93</v>
      </c>
      <c r="T1022" t="s">
        <v>94</v>
      </c>
      <c r="U1022" t="s">
        <v>95</v>
      </c>
    </row>
    <row r="1023" spans="1:21" x14ac:dyDescent="0.3">
      <c r="A1023" t="s">
        <v>2321</v>
      </c>
      <c r="B1023" s="6" t="str">
        <f>HYPERLINK("http://data.ntsb.gov/carol-repgen/api/Aviation/ReportMain/GenerateNewestReport/100416/pdf","AccidentReport")</f>
        <v>AccidentReport</v>
      </c>
      <c r="C1023" t="s">
        <v>2317</v>
      </c>
      <c r="D1023" t="s">
        <v>2322</v>
      </c>
      <c r="E1023" t="s">
        <v>142</v>
      </c>
      <c r="F1023" t="s">
        <v>88</v>
      </c>
      <c r="G1023">
        <v>39.588889999999999</v>
      </c>
      <c r="H1023">
        <v>-84.224722999999997</v>
      </c>
      <c r="K1023" t="s">
        <v>89</v>
      </c>
      <c r="L1023">
        <v>1</v>
      </c>
      <c r="M1023" t="s">
        <v>90</v>
      </c>
      <c r="N1023" t="s">
        <v>91</v>
      </c>
      <c r="O1023" t="s">
        <v>92</v>
      </c>
      <c r="S1023" t="s">
        <v>93</v>
      </c>
      <c r="T1023" t="s">
        <v>159</v>
      </c>
      <c r="U1023" t="s">
        <v>186</v>
      </c>
    </row>
    <row r="1024" spans="1:21" x14ac:dyDescent="0.3">
      <c r="A1024" t="s">
        <v>2323</v>
      </c>
      <c r="B1024" s="6" t="str">
        <f>HYPERLINK("http://data.ntsb.gov/carol-repgen/api/Aviation/ReportMain/GenerateNewestReport/100417/pdf","AccidentReport")</f>
        <v>AccidentReport</v>
      </c>
      <c r="C1024" t="s">
        <v>2324</v>
      </c>
      <c r="D1024" t="s">
        <v>175</v>
      </c>
      <c r="E1024" t="s">
        <v>176</v>
      </c>
      <c r="F1024" t="s">
        <v>88</v>
      </c>
      <c r="G1024">
        <v>48.017501000000003</v>
      </c>
      <c r="H1024">
        <v>-122.437774</v>
      </c>
      <c r="J1024">
        <v>1</v>
      </c>
      <c r="K1024" t="s">
        <v>99</v>
      </c>
      <c r="L1024">
        <v>1</v>
      </c>
      <c r="M1024" t="s">
        <v>90</v>
      </c>
      <c r="N1024" t="s">
        <v>91</v>
      </c>
      <c r="O1024" t="s">
        <v>92</v>
      </c>
      <c r="S1024" t="s">
        <v>418</v>
      </c>
      <c r="T1024" t="s">
        <v>113</v>
      </c>
      <c r="U1024" t="s">
        <v>103</v>
      </c>
    </row>
    <row r="1025" spans="1:21" x14ac:dyDescent="0.3">
      <c r="A1025" t="s">
        <v>2325</v>
      </c>
      <c r="B1025" s="6" t="str">
        <f>HYPERLINK("http://data.ntsb.gov/carol-repgen/api/Aviation/ReportMain/GenerateNewestReport/100418/pdf","AccidentReport")</f>
        <v>AccidentReport</v>
      </c>
      <c r="C1025" t="s">
        <v>2324</v>
      </c>
      <c r="D1025" t="s">
        <v>1475</v>
      </c>
      <c r="E1025" t="s">
        <v>122</v>
      </c>
      <c r="F1025" t="s">
        <v>88</v>
      </c>
      <c r="G1025">
        <v>47.769165000000001</v>
      </c>
      <c r="H1025">
        <v>-116.818611</v>
      </c>
      <c r="J1025">
        <v>1</v>
      </c>
      <c r="K1025" t="s">
        <v>99</v>
      </c>
      <c r="L1025">
        <v>1</v>
      </c>
      <c r="M1025" t="s">
        <v>90</v>
      </c>
      <c r="N1025" t="s">
        <v>309</v>
      </c>
      <c r="O1025" t="s">
        <v>92</v>
      </c>
      <c r="S1025" t="s">
        <v>108</v>
      </c>
      <c r="T1025" t="s">
        <v>102</v>
      </c>
      <c r="U1025" t="s">
        <v>248</v>
      </c>
    </row>
    <row r="1026" spans="1:21" x14ac:dyDescent="0.3">
      <c r="A1026" t="s">
        <v>2326</v>
      </c>
      <c r="B1026" s="6" t="str">
        <f>HYPERLINK("http://data.ntsb.gov/carol-repgen/api/Aviation/ReportMain/GenerateNewestReport/100425/pdf","AccidentReport")</f>
        <v>AccidentReport</v>
      </c>
      <c r="C1026" t="s">
        <v>2324</v>
      </c>
      <c r="D1026" t="s">
        <v>2327</v>
      </c>
      <c r="E1026" t="s">
        <v>356</v>
      </c>
      <c r="F1026" t="s">
        <v>88</v>
      </c>
      <c r="G1026">
        <v>31.398889</v>
      </c>
      <c r="H1026">
        <v>-83.001388000000006</v>
      </c>
      <c r="K1026" t="s">
        <v>155</v>
      </c>
      <c r="L1026">
        <v>1</v>
      </c>
      <c r="M1026" t="s">
        <v>90</v>
      </c>
      <c r="N1026" t="s">
        <v>91</v>
      </c>
      <c r="O1026" t="s">
        <v>169</v>
      </c>
      <c r="S1026" t="s">
        <v>515</v>
      </c>
      <c r="T1026" t="s">
        <v>113</v>
      </c>
      <c r="U1026" t="s">
        <v>103</v>
      </c>
    </row>
    <row r="1027" spans="1:21" x14ac:dyDescent="0.3">
      <c r="A1027" t="s">
        <v>2328</v>
      </c>
      <c r="B1027" s="6" t="str">
        <f>HYPERLINK("http://data.ntsb.gov/carol-repgen/api/Aviation/ReportMain/GenerateNewestReport/100426/pdf","AccidentReport")</f>
        <v>AccidentReport</v>
      </c>
      <c r="C1027" t="s">
        <v>2324</v>
      </c>
      <c r="D1027" t="s">
        <v>2329</v>
      </c>
      <c r="E1027" t="s">
        <v>356</v>
      </c>
      <c r="F1027" t="s">
        <v>88</v>
      </c>
      <c r="G1027">
        <v>34.018611</v>
      </c>
      <c r="H1027">
        <v>-85.146384999999995</v>
      </c>
      <c r="K1027" t="s">
        <v>89</v>
      </c>
      <c r="L1027">
        <v>1</v>
      </c>
      <c r="M1027" t="s">
        <v>90</v>
      </c>
      <c r="N1027" t="s">
        <v>91</v>
      </c>
      <c r="O1027" t="s">
        <v>92</v>
      </c>
      <c r="S1027" t="s">
        <v>108</v>
      </c>
      <c r="T1027" t="s">
        <v>220</v>
      </c>
      <c r="U1027" t="s">
        <v>221</v>
      </c>
    </row>
    <row r="1028" spans="1:21" x14ac:dyDescent="0.3">
      <c r="A1028" t="s">
        <v>2328</v>
      </c>
      <c r="B1028" s="6" t="str">
        <f>HYPERLINK("http://data.ntsb.gov/carol-repgen/api/Aviation/ReportMain/GenerateNewestReport/100426/pdf","AccidentReport")</f>
        <v>AccidentReport</v>
      </c>
      <c r="C1028" t="s">
        <v>2324</v>
      </c>
      <c r="D1028" t="s">
        <v>2329</v>
      </c>
      <c r="E1028" t="s">
        <v>356</v>
      </c>
      <c r="F1028" t="s">
        <v>88</v>
      </c>
      <c r="G1028">
        <v>34.018611</v>
      </c>
      <c r="H1028">
        <v>-85.146384999999995</v>
      </c>
      <c r="K1028" t="s">
        <v>89</v>
      </c>
      <c r="L1028">
        <v>2</v>
      </c>
      <c r="M1028" t="s">
        <v>90</v>
      </c>
      <c r="N1028" t="s">
        <v>91</v>
      </c>
      <c r="O1028" t="s">
        <v>92</v>
      </c>
      <c r="S1028" t="s">
        <v>1357</v>
      </c>
      <c r="T1028" t="s">
        <v>220</v>
      </c>
      <c r="U1028" t="s">
        <v>248</v>
      </c>
    </row>
    <row r="1029" spans="1:21" x14ac:dyDescent="0.3">
      <c r="A1029" t="s">
        <v>2330</v>
      </c>
      <c r="B1029" s="6" t="str">
        <f>HYPERLINK("http://data.ntsb.gov/carol-repgen/api/Aviation/ReportMain/GenerateNewestReport/100444/pdf","AccidentReport")</f>
        <v>AccidentReport</v>
      </c>
      <c r="C1029" t="s">
        <v>2324</v>
      </c>
      <c r="D1029" t="s">
        <v>2331</v>
      </c>
      <c r="E1029" t="s">
        <v>206</v>
      </c>
      <c r="F1029" t="s">
        <v>88</v>
      </c>
      <c r="G1029">
        <v>35.201946</v>
      </c>
      <c r="H1029">
        <v>-81.150276000000005</v>
      </c>
      <c r="K1029" t="s">
        <v>155</v>
      </c>
      <c r="L1029">
        <v>1</v>
      </c>
      <c r="M1029" t="s">
        <v>90</v>
      </c>
      <c r="N1029" t="s">
        <v>91</v>
      </c>
      <c r="O1029" t="s">
        <v>92</v>
      </c>
      <c r="S1029" t="s">
        <v>108</v>
      </c>
      <c r="T1029" t="s">
        <v>442</v>
      </c>
      <c r="U1029" t="s">
        <v>248</v>
      </c>
    </row>
    <row r="1030" spans="1:21" x14ac:dyDescent="0.3">
      <c r="A1030" t="s">
        <v>2332</v>
      </c>
      <c r="B1030" s="6" t="str">
        <f>HYPERLINK("http://data.ntsb.gov/carol-repgen/api/Aviation/ReportMain/GenerateNewestReport/100630/pdf","AccidentReport")</f>
        <v>AccidentReport</v>
      </c>
      <c r="C1030" t="s">
        <v>2333</v>
      </c>
      <c r="D1030" t="s">
        <v>1414</v>
      </c>
      <c r="E1030" t="s">
        <v>233</v>
      </c>
      <c r="F1030" t="s">
        <v>88</v>
      </c>
      <c r="G1030">
        <v>60.516666000000001</v>
      </c>
      <c r="H1030">
        <v>-149.5</v>
      </c>
      <c r="K1030" t="s">
        <v>89</v>
      </c>
      <c r="L1030">
        <v>1</v>
      </c>
      <c r="M1030" t="s">
        <v>90</v>
      </c>
      <c r="N1030" t="s">
        <v>91</v>
      </c>
      <c r="O1030" t="s">
        <v>92</v>
      </c>
      <c r="S1030" t="s">
        <v>381</v>
      </c>
      <c r="T1030" t="s">
        <v>411</v>
      </c>
      <c r="U1030" t="s">
        <v>95</v>
      </c>
    </row>
    <row r="1031" spans="1:21" x14ac:dyDescent="0.3">
      <c r="A1031" t="s">
        <v>2334</v>
      </c>
      <c r="B1031" s="6" t="str">
        <f>HYPERLINK("http://data.ntsb.gov/carol-repgen/api/Aviation/ReportMain/GenerateNewestReport/100420/pdf","AccidentReport")</f>
        <v>AccidentReport</v>
      </c>
      <c r="C1031" t="s">
        <v>2333</v>
      </c>
      <c r="D1031" t="s">
        <v>650</v>
      </c>
      <c r="E1031" t="s">
        <v>154</v>
      </c>
      <c r="F1031" t="s">
        <v>88</v>
      </c>
      <c r="G1031">
        <v>30.336666000000001</v>
      </c>
      <c r="H1031">
        <v>-95.679443000000006</v>
      </c>
      <c r="J1031">
        <v>1</v>
      </c>
      <c r="K1031" t="s">
        <v>99</v>
      </c>
      <c r="L1031">
        <v>1</v>
      </c>
      <c r="M1031" t="s">
        <v>90</v>
      </c>
      <c r="N1031" t="s">
        <v>862</v>
      </c>
      <c r="O1031" t="s">
        <v>92</v>
      </c>
      <c r="S1031" t="s">
        <v>108</v>
      </c>
      <c r="T1031" t="s">
        <v>411</v>
      </c>
      <c r="U1031" t="s">
        <v>248</v>
      </c>
    </row>
    <row r="1032" spans="1:21" x14ac:dyDescent="0.3">
      <c r="A1032" t="s">
        <v>2335</v>
      </c>
      <c r="B1032" s="6" t="str">
        <f>HYPERLINK("http://data.ntsb.gov/carol-repgen/api/Aviation/ReportMain/GenerateNewestReport/100409/pdf","AccidentReport")</f>
        <v>AccidentReport</v>
      </c>
      <c r="C1032" t="s">
        <v>2333</v>
      </c>
      <c r="D1032" t="s">
        <v>2336</v>
      </c>
      <c r="E1032" t="s">
        <v>122</v>
      </c>
      <c r="F1032" t="s">
        <v>88</v>
      </c>
      <c r="G1032">
        <v>44.673609999999996</v>
      </c>
      <c r="H1032">
        <v>-111.424446</v>
      </c>
      <c r="K1032" t="s">
        <v>89</v>
      </c>
      <c r="L1032">
        <v>1</v>
      </c>
      <c r="M1032" t="s">
        <v>90</v>
      </c>
      <c r="N1032" t="s">
        <v>91</v>
      </c>
      <c r="O1032" t="s">
        <v>92</v>
      </c>
      <c r="S1032" t="s">
        <v>108</v>
      </c>
      <c r="T1032" t="s">
        <v>109</v>
      </c>
      <c r="U1032" t="s">
        <v>95</v>
      </c>
    </row>
    <row r="1033" spans="1:21" x14ac:dyDescent="0.3">
      <c r="A1033" t="s">
        <v>2337</v>
      </c>
      <c r="B1033" s="6" t="str">
        <f>HYPERLINK("http://data.ntsb.gov/carol-repgen/api/Aviation/ReportMain/GenerateNewestReport/100441/pdf","AccidentReport")</f>
        <v>AccidentReport</v>
      </c>
      <c r="C1033" t="s">
        <v>2333</v>
      </c>
      <c r="D1033" t="s">
        <v>1261</v>
      </c>
      <c r="E1033" t="s">
        <v>154</v>
      </c>
      <c r="F1033" t="s">
        <v>88</v>
      </c>
      <c r="G1033">
        <v>33.067779000000002</v>
      </c>
      <c r="H1033">
        <v>-96.065276999999995</v>
      </c>
      <c r="K1033" t="s">
        <v>89</v>
      </c>
      <c r="L1033">
        <v>1</v>
      </c>
      <c r="M1033" t="s">
        <v>90</v>
      </c>
      <c r="N1033" t="s">
        <v>91</v>
      </c>
      <c r="O1033" t="s">
        <v>92</v>
      </c>
      <c r="S1033" t="s">
        <v>108</v>
      </c>
      <c r="T1033" t="s">
        <v>94</v>
      </c>
      <c r="U1033" t="s">
        <v>95</v>
      </c>
    </row>
    <row r="1034" spans="1:21" x14ac:dyDescent="0.3">
      <c r="A1034" t="s">
        <v>2338</v>
      </c>
      <c r="B1034" s="6" t="str">
        <f>HYPERLINK("http://data.ntsb.gov/carol-repgen/api/Aviation/ReportMain/GenerateNewestReport/100442/pdf","AccidentReport")</f>
        <v>AccidentReport</v>
      </c>
      <c r="C1034" t="s">
        <v>2333</v>
      </c>
      <c r="D1034" t="s">
        <v>808</v>
      </c>
      <c r="E1034" t="s">
        <v>98</v>
      </c>
      <c r="F1034" t="s">
        <v>88</v>
      </c>
      <c r="G1034">
        <v>24.55611</v>
      </c>
      <c r="H1034">
        <v>-81.760002</v>
      </c>
      <c r="J1034">
        <v>1</v>
      </c>
      <c r="K1034" t="s">
        <v>99</v>
      </c>
      <c r="L1034">
        <v>1</v>
      </c>
      <c r="M1034" t="s">
        <v>89</v>
      </c>
      <c r="N1034" t="s">
        <v>91</v>
      </c>
      <c r="O1034" t="s">
        <v>92</v>
      </c>
      <c r="S1034" t="s">
        <v>108</v>
      </c>
      <c r="T1034" t="s">
        <v>769</v>
      </c>
      <c r="U1034" t="s">
        <v>222</v>
      </c>
    </row>
    <row r="1035" spans="1:21" x14ac:dyDescent="0.3">
      <c r="A1035" t="s">
        <v>2339</v>
      </c>
      <c r="B1035" s="6" t="str">
        <f>HYPERLINK("http://data.ntsb.gov/carol-repgen/api/Aviation/ReportMain/GenerateNewestReport/100443/pdf","AccidentReport")</f>
        <v>AccidentReport</v>
      </c>
      <c r="C1035" t="s">
        <v>2333</v>
      </c>
      <c r="D1035" t="s">
        <v>2340</v>
      </c>
      <c r="E1035" t="s">
        <v>536</v>
      </c>
      <c r="F1035" t="s">
        <v>88</v>
      </c>
      <c r="G1035">
        <v>38.361109999999996</v>
      </c>
      <c r="H1035">
        <v>-76.405281000000002</v>
      </c>
      <c r="K1035" t="s">
        <v>155</v>
      </c>
      <c r="L1035">
        <v>1</v>
      </c>
      <c r="M1035" t="s">
        <v>90</v>
      </c>
      <c r="N1035" t="s">
        <v>91</v>
      </c>
      <c r="O1035" t="s">
        <v>92</v>
      </c>
      <c r="S1035" t="s">
        <v>108</v>
      </c>
      <c r="T1035" t="s">
        <v>102</v>
      </c>
      <c r="U1035" t="s">
        <v>248</v>
      </c>
    </row>
    <row r="1036" spans="1:21" x14ac:dyDescent="0.3">
      <c r="A1036" t="s">
        <v>2341</v>
      </c>
      <c r="B1036" s="6" t="str">
        <f>HYPERLINK("http://data.ntsb.gov/carol-repgen/api/Aviation/ReportMain/GenerateNewestReport/100431/pdf","AccidentReport")</f>
        <v>AccidentReport</v>
      </c>
      <c r="C1036" t="s">
        <v>2342</v>
      </c>
      <c r="D1036" t="s">
        <v>451</v>
      </c>
      <c r="E1036" t="s">
        <v>233</v>
      </c>
      <c r="F1036" t="s">
        <v>88</v>
      </c>
      <c r="G1036">
        <v>61.450279000000002</v>
      </c>
      <c r="H1036">
        <v>-148.683334</v>
      </c>
      <c r="K1036" t="s">
        <v>89</v>
      </c>
      <c r="L1036">
        <v>1</v>
      </c>
      <c r="M1036" t="s">
        <v>90</v>
      </c>
      <c r="N1036" t="s">
        <v>91</v>
      </c>
      <c r="O1036" t="s">
        <v>92</v>
      </c>
      <c r="S1036" t="s">
        <v>108</v>
      </c>
      <c r="T1036" t="s">
        <v>118</v>
      </c>
      <c r="U1036" t="s">
        <v>186</v>
      </c>
    </row>
    <row r="1037" spans="1:21" x14ac:dyDescent="0.3">
      <c r="A1037" t="s">
        <v>2343</v>
      </c>
      <c r="B1037" s="6" t="str">
        <f>HYPERLINK("http://data.ntsb.gov/carol-repgen/api/Aviation/ReportMain/GenerateNewestReport/100496/pdf","AccidentReport")</f>
        <v>AccidentReport</v>
      </c>
      <c r="C1037" t="s">
        <v>2342</v>
      </c>
      <c r="D1037" t="s">
        <v>2344</v>
      </c>
      <c r="E1037" t="s">
        <v>154</v>
      </c>
      <c r="F1037" t="s">
        <v>88</v>
      </c>
      <c r="G1037">
        <v>32.986666999999997</v>
      </c>
      <c r="H1037">
        <v>-97.619720000000001</v>
      </c>
      <c r="K1037" t="s">
        <v>155</v>
      </c>
      <c r="L1037">
        <v>1</v>
      </c>
      <c r="M1037" t="s">
        <v>90</v>
      </c>
      <c r="N1037" t="s">
        <v>91</v>
      </c>
      <c r="O1037" t="s">
        <v>92</v>
      </c>
      <c r="S1037" t="s">
        <v>166</v>
      </c>
      <c r="T1037" t="s">
        <v>159</v>
      </c>
      <c r="U1037" t="s">
        <v>186</v>
      </c>
    </row>
    <row r="1038" spans="1:21" x14ac:dyDescent="0.3">
      <c r="A1038" t="s">
        <v>2345</v>
      </c>
      <c r="B1038" s="6" t="str">
        <f>HYPERLINK("http://data.ntsb.gov/carol-repgen/api/Aviation/ReportMain/GenerateNewestReport/100414/pdf","AccidentReport")</f>
        <v>AccidentReport</v>
      </c>
      <c r="C1038" t="s">
        <v>2342</v>
      </c>
      <c r="D1038" t="s">
        <v>2346</v>
      </c>
      <c r="E1038" t="s">
        <v>399</v>
      </c>
      <c r="F1038" t="s">
        <v>88</v>
      </c>
      <c r="G1038">
        <v>37.692501</v>
      </c>
      <c r="H1038">
        <v>-97.543609000000004</v>
      </c>
      <c r="K1038" t="s">
        <v>89</v>
      </c>
      <c r="L1038">
        <v>1</v>
      </c>
      <c r="M1038" t="s">
        <v>90</v>
      </c>
      <c r="N1038" t="s">
        <v>91</v>
      </c>
      <c r="O1038" t="s">
        <v>92</v>
      </c>
      <c r="S1038" t="s">
        <v>108</v>
      </c>
      <c r="T1038" t="s">
        <v>102</v>
      </c>
      <c r="U1038" t="s">
        <v>248</v>
      </c>
    </row>
    <row r="1039" spans="1:21" x14ac:dyDescent="0.3">
      <c r="A1039" t="s">
        <v>2347</v>
      </c>
      <c r="B1039" s="6" t="str">
        <f>HYPERLINK("http://data.ntsb.gov/carol-repgen/api/Aviation/ReportMain/GenerateNewestReport/100433/pdf","AccidentReport")</f>
        <v>AccidentReport</v>
      </c>
      <c r="C1039" t="s">
        <v>2342</v>
      </c>
      <c r="D1039" t="s">
        <v>2348</v>
      </c>
      <c r="E1039" t="s">
        <v>106</v>
      </c>
      <c r="F1039" t="s">
        <v>88</v>
      </c>
      <c r="G1039">
        <v>40.556109999999997</v>
      </c>
      <c r="H1039">
        <v>-120.839164</v>
      </c>
      <c r="K1039" t="s">
        <v>155</v>
      </c>
      <c r="L1039">
        <v>1</v>
      </c>
      <c r="M1039" t="s">
        <v>90</v>
      </c>
      <c r="N1039" t="s">
        <v>100</v>
      </c>
      <c r="O1039" t="s">
        <v>169</v>
      </c>
      <c r="S1039" t="s">
        <v>515</v>
      </c>
      <c r="T1039" t="s">
        <v>159</v>
      </c>
      <c r="U1039" t="s">
        <v>103</v>
      </c>
    </row>
    <row r="1040" spans="1:21" x14ac:dyDescent="0.3">
      <c r="A1040" t="s">
        <v>2349</v>
      </c>
      <c r="B1040" s="6" t="str">
        <f>HYPERLINK("http://data.ntsb.gov/carol-repgen/api/Aviation/ReportMain/GenerateNewestReport/100408/pdf","AccidentReport")</f>
        <v>AccidentReport</v>
      </c>
      <c r="C1040" t="s">
        <v>2350</v>
      </c>
      <c r="D1040" t="s">
        <v>2351</v>
      </c>
      <c r="E1040" t="s">
        <v>206</v>
      </c>
      <c r="F1040" t="s">
        <v>88</v>
      </c>
      <c r="G1040">
        <v>35.271667000000001</v>
      </c>
      <c r="H1040">
        <v>-79.254446999999999</v>
      </c>
      <c r="I1040">
        <v>1</v>
      </c>
      <c r="K1040" t="s">
        <v>107</v>
      </c>
      <c r="L1040">
        <v>1</v>
      </c>
      <c r="M1040" t="s">
        <v>90</v>
      </c>
      <c r="N1040" t="s">
        <v>91</v>
      </c>
      <c r="O1040" t="s">
        <v>92</v>
      </c>
      <c r="S1040" t="s">
        <v>108</v>
      </c>
      <c r="T1040" t="s">
        <v>102</v>
      </c>
      <c r="U1040" t="s">
        <v>119</v>
      </c>
    </row>
    <row r="1041" spans="1:22" x14ac:dyDescent="0.3">
      <c r="A1041" t="s">
        <v>2352</v>
      </c>
      <c r="B1041" s="6" t="str">
        <f>HYPERLINK("http://data.ntsb.gov/carol-repgen/api/Aviation/ReportMain/GenerateNewestReport/100412/pdf","AccidentReport")</f>
        <v>AccidentReport</v>
      </c>
      <c r="C1041" t="s">
        <v>2350</v>
      </c>
      <c r="D1041" t="s">
        <v>1674</v>
      </c>
      <c r="E1041" t="s">
        <v>154</v>
      </c>
      <c r="F1041" t="s">
        <v>88</v>
      </c>
      <c r="G1041">
        <v>32.718887000000002</v>
      </c>
      <c r="H1041">
        <v>-98.891670000000005</v>
      </c>
      <c r="K1041" t="s">
        <v>89</v>
      </c>
      <c r="L1041">
        <v>1</v>
      </c>
      <c r="M1041" t="s">
        <v>90</v>
      </c>
      <c r="N1041" t="s">
        <v>91</v>
      </c>
      <c r="O1041" t="s">
        <v>92</v>
      </c>
      <c r="S1041" t="s">
        <v>108</v>
      </c>
      <c r="T1041" t="s">
        <v>102</v>
      </c>
      <c r="U1041" t="s">
        <v>119</v>
      </c>
    </row>
    <row r="1042" spans="1:22" x14ac:dyDescent="0.3">
      <c r="A1042" t="s">
        <v>2353</v>
      </c>
      <c r="B1042" s="6" t="str">
        <f>HYPERLINK("http://data.ntsb.gov/carol-repgen/api/Aviation/ReportMain/GenerateNewestReport/100429/pdf","AccidentReport")</f>
        <v>AccidentReport</v>
      </c>
      <c r="C1042" t="s">
        <v>2350</v>
      </c>
      <c r="D1042" t="s">
        <v>2354</v>
      </c>
      <c r="E1042" t="s">
        <v>356</v>
      </c>
      <c r="F1042" t="s">
        <v>88</v>
      </c>
      <c r="G1042">
        <v>31.476666999999999</v>
      </c>
      <c r="H1042">
        <v>-82.860557</v>
      </c>
      <c r="K1042" t="s">
        <v>89</v>
      </c>
      <c r="L1042">
        <v>1</v>
      </c>
      <c r="M1042" t="s">
        <v>90</v>
      </c>
      <c r="N1042" t="s">
        <v>91</v>
      </c>
      <c r="O1042" t="s">
        <v>92</v>
      </c>
      <c r="S1042" t="s">
        <v>108</v>
      </c>
      <c r="T1042" t="s">
        <v>109</v>
      </c>
      <c r="U1042" t="s">
        <v>95</v>
      </c>
      <c r="V1042" t="s">
        <v>2814</v>
      </c>
    </row>
    <row r="1043" spans="1:22" x14ac:dyDescent="0.3">
      <c r="A1043" t="s">
        <v>2355</v>
      </c>
      <c r="B1043" s="6" t="str">
        <f>HYPERLINK("http://data.ntsb.gov/carol-repgen/api/Aviation/ReportMain/GenerateNewestReport/100484/pdf","AccidentReport")</f>
        <v>AccidentReport</v>
      </c>
      <c r="C1043" t="s">
        <v>2350</v>
      </c>
      <c r="D1043" t="s">
        <v>2356</v>
      </c>
      <c r="E1043" t="s">
        <v>125</v>
      </c>
      <c r="F1043" t="s">
        <v>88</v>
      </c>
      <c r="G1043">
        <v>33.420555</v>
      </c>
      <c r="H1043">
        <v>-112.686111</v>
      </c>
      <c r="K1043" t="s">
        <v>89</v>
      </c>
      <c r="L1043">
        <v>1</v>
      </c>
      <c r="M1043" t="s">
        <v>90</v>
      </c>
      <c r="N1043" t="s">
        <v>91</v>
      </c>
      <c r="O1043" t="s">
        <v>92</v>
      </c>
      <c r="S1043" t="s">
        <v>108</v>
      </c>
      <c r="T1043" t="s">
        <v>94</v>
      </c>
      <c r="U1043" t="s">
        <v>95</v>
      </c>
    </row>
    <row r="1044" spans="1:22" x14ac:dyDescent="0.3">
      <c r="A1044" t="s">
        <v>2357</v>
      </c>
      <c r="B1044" s="6" t="str">
        <f>HYPERLINK("http://data.ntsb.gov/carol-repgen/api/Aviation/ReportMain/GenerateNewestReport/100413/pdf","AccidentReport")</f>
        <v>AccidentReport</v>
      </c>
      <c r="C1044" t="s">
        <v>2358</v>
      </c>
      <c r="D1044" t="s">
        <v>2112</v>
      </c>
      <c r="E1044" t="s">
        <v>131</v>
      </c>
      <c r="F1044" t="s">
        <v>88</v>
      </c>
      <c r="G1044">
        <v>38.942779000000002</v>
      </c>
      <c r="H1044">
        <v>-104.569999</v>
      </c>
      <c r="K1044" t="s">
        <v>89</v>
      </c>
      <c r="L1044">
        <v>1</v>
      </c>
      <c r="M1044" t="s">
        <v>90</v>
      </c>
      <c r="N1044" t="s">
        <v>91</v>
      </c>
      <c r="O1044" t="s">
        <v>92</v>
      </c>
      <c r="S1044" t="s">
        <v>108</v>
      </c>
      <c r="T1044" t="s">
        <v>102</v>
      </c>
      <c r="U1044" t="s">
        <v>248</v>
      </c>
    </row>
    <row r="1045" spans="1:22" x14ac:dyDescent="0.3">
      <c r="A1045" t="s">
        <v>2359</v>
      </c>
      <c r="B1045" s="6" t="str">
        <f>HYPERLINK("http://data.ntsb.gov/carol-repgen/api/Aviation/ReportMain/GenerateNewestReport/100430/pdf","AccidentReport")</f>
        <v>AccidentReport</v>
      </c>
      <c r="C1045" t="s">
        <v>2358</v>
      </c>
      <c r="D1045" t="s">
        <v>424</v>
      </c>
      <c r="E1045" t="s">
        <v>260</v>
      </c>
      <c r="F1045" t="s">
        <v>88</v>
      </c>
      <c r="G1045">
        <v>38.227778999999998</v>
      </c>
      <c r="H1045">
        <v>-85.664717999999993</v>
      </c>
      <c r="K1045" t="s">
        <v>89</v>
      </c>
      <c r="L1045">
        <v>1</v>
      </c>
      <c r="M1045" t="s">
        <v>90</v>
      </c>
      <c r="N1045" t="s">
        <v>91</v>
      </c>
      <c r="O1045" t="s">
        <v>92</v>
      </c>
      <c r="S1045" t="s">
        <v>93</v>
      </c>
      <c r="T1045" t="s">
        <v>94</v>
      </c>
      <c r="U1045" t="s">
        <v>95</v>
      </c>
    </row>
    <row r="1046" spans="1:22" x14ac:dyDescent="0.3">
      <c r="A1046" t="s">
        <v>2360</v>
      </c>
      <c r="B1046" s="6" t="str">
        <f>HYPERLINK("http://data.ntsb.gov/carol-repgen/api/Aviation/ReportMain/GenerateNewestReport/100445/pdf","AccidentReport")</f>
        <v>AccidentReport</v>
      </c>
      <c r="C1046" t="s">
        <v>2358</v>
      </c>
      <c r="D1046" t="s">
        <v>751</v>
      </c>
      <c r="E1046" t="s">
        <v>541</v>
      </c>
      <c r="F1046" t="s">
        <v>88</v>
      </c>
      <c r="G1046">
        <v>43.626109999999997</v>
      </c>
      <c r="H1046">
        <v>-72.304168000000004</v>
      </c>
      <c r="K1046" t="s">
        <v>155</v>
      </c>
      <c r="L1046">
        <v>1</v>
      </c>
      <c r="M1046" t="s">
        <v>90</v>
      </c>
      <c r="N1046" t="s">
        <v>91</v>
      </c>
      <c r="O1046" t="s">
        <v>92</v>
      </c>
      <c r="S1046" t="s">
        <v>108</v>
      </c>
      <c r="T1046" t="s">
        <v>94</v>
      </c>
      <c r="U1046" t="s">
        <v>95</v>
      </c>
    </row>
    <row r="1047" spans="1:22" x14ac:dyDescent="0.3">
      <c r="A1047" t="s">
        <v>2361</v>
      </c>
      <c r="B1047" s="6" t="str">
        <f>HYPERLINK("http://data.ntsb.gov/carol-repgen/api/Aviation/ReportMain/GenerateNewestReport/100446/pdf","AccidentReport")</f>
        <v>AccidentReport</v>
      </c>
      <c r="C1047" t="s">
        <v>2358</v>
      </c>
      <c r="D1047" t="s">
        <v>2362</v>
      </c>
      <c r="E1047" t="s">
        <v>290</v>
      </c>
      <c r="F1047" t="s">
        <v>88</v>
      </c>
      <c r="G1047">
        <v>40.130001</v>
      </c>
      <c r="H1047">
        <v>-119.910003</v>
      </c>
      <c r="K1047" t="s">
        <v>89</v>
      </c>
      <c r="L1047">
        <v>1</v>
      </c>
      <c r="M1047" t="s">
        <v>90</v>
      </c>
      <c r="N1047" t="s">
        <v>91</v>
      </c>
      <c r="O1047" t="s">
        <v>92</v>
      </c>
      <c r="S1047" t="s">
        <v>108</v>
      </c>
      <c r="T1047" t="s">
        <v>94</v>
      </c>
      <c r="U1047" t="s">
        <v>95</v>
      </c>
    </row>
    <row r="1048" spans="1:22" x14ac:dyDescent="0.3">
      <c r="A1048" t="s">
        <v>2363</v>
      </c>
      <c r="B1048" s="6" t="str">
        <f>HYPERLINK("http://data.ntsb.gov/carol-repgen/api/Aviation/ReportMain/GenerateNewestReport/100461/pdf","AccidentReport")</f>
        <v>AccidentReport</v>
      </c>
      <c r="C1048" t="s">
        <v>2364</v>
      </c>
      <c r="D1048" t="s">
        <v>381</v>
      </c>
      <c r="F1048" t="s">
        <v>88</v>
      </c>
      <c r="G1048">
        <v>25.382498999999999</v>
      </c>
      <c r="H1048">
        <v>-90.125831000000005</v>
      </c>
      <c r="I1048">
        <v>1</v>
      </c>
      <c r="K1048" t="s">
        <v>107</v>
      </c>
      <c r="L1048">
        <v>1</v>
      </c>
      <c r="M1048" t="s">
        <v>147</v>
      </c>
      <c r="N1048" t="s">
        <v>91</v>
      </c>
      <c r="O1048" t="s">
        <v>92</v>
      </c>
      <c r="S1048" t="s">
        <v>108</v>
      </c>
      <c r="T1048" t="s">
        <v>381</v>
      </c>
      <c r="U1048" t="s">
        <v>381</v>
      </c>
    </row>
    <row r="1049" spans="1:22" x14ac:dyDescent="0.3">
      <c r="A1049" t="s">
        <v>2365</v>
      </c>
      <c r="B1049" s="6" t="str">
        <f>HYPERLINK("http://data.ntsb.gov/carol-repgen/api/Aviation/ReportMain/GenerateNewestReport/100447/pdf","AccidentReport")</f>
        <v>AccidentReport</v>
      </c>
      <c r="C1049" t="s">
        <v>2364</v>
      </c>
      <c r="D1049" t="s">
        <v>2366</v>
      </c>
      <c r="E1049" t="s">
        <v>290</v>
      </c>
      <c r="F1049" t="s">
        <v>88</v>
      </c>
      <c r="G1049">
        <v>40.334999000000003</v>
      </c>
      <c r="H1049">
        <v>-119.908058</v>
      </c>
      <c r="K1049" t="s">
        <v>89</v>
      </c>
      <c r="L1049">
        <v>1</v>
      </c>
      <c r="M1049" t="s">
        <v>90</v>
      </c>
      <c r="N1049" t="s">
        <v>91</v>
      </c>
      <c r="O1049" t="s">
        <v>92</v>
      </c>
      <c r="S1049" t="s">
        <v>108</v>
      </c>
      <c r="T1049" t="s">
        <v>102</v>
      </c>
      <c r="U1049" t="s">
        <v>95</v>
      </c>
    </row>
    <row r="1050" spans="1:22" x14ac:dyDescent="0.3">
      <c r="A1050" t="s">
        <v>2367</v>
      </c>
      <c r="B1050" s="6" t="str">
        <f>HYPERLINK("http://data.ntsb.gov/carol-repgen/api/Aviation/ReportMain/GenerateNewestReport/100435/pdf","AccidentReport")</f>
        <v>AccidentReport</v>
      </c>
      <c r="C1050" t="s">
        <v>2368</v>
      </c>
      <c r="D1050" t="s">
        <v>2369</v>
      </c>
      <c r="E1050" t="s">
        <v>203</v>
      </c>
      <c r="F1050" t="s">
        <v>88</v>
      </c>
      <c r="G1050">
        <v>44.422761999999999</v>
      </c>
      <c r="H1050">
        <v>-87.935946000000001</v>
      </c>
      <c r="I1050">
        <v>2</v>
      </c>
      <c r="K1050" t="s">
        <v>107</v>
      </c>
      <c r="L1050">
        <v>1</v>
      </c>
      <c r="M1050" t="s">
        <v>90</v>
      </c>
      <c r="N1050" t="s">
        <v>91</v>
      </c>
      <c r="O1050" t="s">
        <v>92</v>
      </c>
      <c r="S1050" t="s">
        <v>108</v>
      </c>
      <c r="T1050" t="s">
        <v>411</v>
      </c>
      <c r="U1050" t="s">
        <v>95</v>
      </c>
    </row>
    <row r="1051" spans="1:22" x14ac:dyDescent="0.3">
      <c r="A1051" t="s">
        <v>2370</v>
      </c>
      <c r="B1051" s="6" t="str">
        <f>HYPERLINK("http://data.ntsb.gov/carol-repgen/api/Aviation/ReportMain/GenerateNewestReport/100439/pdf","AccidentReport")</f>
        <v>AccidentReport</v>
      </c>
      <c r="C1051" t="s">
        <v>2368</v>
      </c>
      <c r="D1051" t="s">
        <v>2371</v>
      </c>
      <c r="E1051" t="s">
        <v>106</v>
      </c>
      <c r="F1051" t="s">
        <v>88</v>
      </c>
      <c r="G1051">
        <v>36.8125</v>
      </c>
      <c r="H1051">
        <v>-121.18583599999999</v>
      </c>
      <c r="K1051" t="s">
        <v>89</v>
      </c>
      <c r="L1051">
        <v>1</v>
      </c>
      <c r="M1051" t="s">
        <v>90</v>
      </c>
      <c r="N1051" t="s">
        <v>91</v>
      </c>
      <c r="O1051" t="s">
        <v>92</v>
      </c>
      <c r="S1051" t="s">
        <v>418</v>
      </c>
      <c r="T1051" t="s">
        <v>220</v>
      </c>
      <c r="U1051" t="s">
        <v>95</v>
      </c>
    </row>
    <row r="1052" spans="1:22" x14ac:dyDescent="0.3">
      <c r="A1052" t="s">
        <v>2372</v>
      </c>
      <c r="B1052" s="6" t="str">
        <f>HYPERLINK("http://data.ntsb.gov/carol-repgen/api/Aviation/ReportMain/GenerateNewestReport/100436/pdf","AccidentReport")</f>
        <v>AccidentReport</v>
      </c>
      <c r="C1052" t="s">
        <v>2368</v>
      </c>
      <c r="D1052" t="s">
        <v>2373</v>
      </c>
      <c r="E1052" t="s">
        <v>206</v>
      </c>
      <c r="F1052" t="s">
        <v>88</v>
      </c>
      <c r="G1052">
        <v>35.149166000000001</v>
      </c>
      <c r="H1052">
        <v>-80.362219999999994</v>
      </c>
      <c r="I1052">
        <v>1</v>
      </c>
      <c r="J1052">
        <v>0</v>
      </c>
      <c r="K1052" t="s">
        <v>107</v>
      </c>
      <c r="L1052">
        <v>1</v>
      </c>
      <c r="M1052" t="s">
        <v>90</v>
      </c>
      <c r="N1052" t="s">
        <v>100</v>
      </c>
      <c r="O1052" t="s">
        <v>169</v>
      </c>
      <c r="S1052" t="s">
        <v>515</v>
      </c>
      <c r="T1052" t="s">
        <v>442</v>
      </c>
      <c r="U1052" t="s">
        <v>103</v>
      </c>
    </row>
    <row r="1053" spans="1:22" x14ac:dyDescent="0.3">
      <c r="A1053" t="s">
        <v>2374</v>
      </c>
      <c r="B1053" s="6" t="str">
        <f>HYPERLINK("http://data.ntsb.gov/carol-repgen/api/Aviation/ReportMain/GenerateNewestReport/100448/pdf","AccidentReport")</f>
        <v>AccidentReport</v>
      </c>
      <c r="C1053" t="s">
        <v>2368</v>
      </c>
      <c r="D1053" t="s">
        <v>2375</v>
      </c>
      <c r="E1053" t="s">
        <v>154</v>
      </c>
      <c r="F1053" t="s">
        <v>88</v>
      </c>
      <c r="G1053">
        <v>29.451388999999999</v>
      </c>
      <c r="H1053">
        <v>-95.302497000000002</v>
      </c>
      <c r="K1053" t="s">
        <v>89</v>
      </c>
      <c r="L1053">
        <v>1</v>
      </c>
      <c r="M1053" t="s">
        <v>90</v>
      </c>
      <c r="N1053" t="s">
        <v>91</v>
      </c>
      <c r="O1053" t="s">
        <v>92</v>
      </c>
      <c r="S1053" t="s">
        <v>108</v>
      </c>
      <c r="T1053" t="s">
        <v>159</v>
      </c>
      <c r="U1053" t="s">
        <v>186</v>
      </c>
    </row>
    <row r="1054" spans="1:22" x14ac:dyDescent="0.3">
      <c r="A1054" t="s">
        <v>2376</v>
      </c>
      <c r="B1054" s="6" t="str">
        <f>HYPERLINK("http://data.ntsb.gov/carol-repgen/api/Aviation/ReportMain/GenerateNewestReport/100449/pdf","AccidentReport")</f>
        <v>AccidentReport</v>
      </c>
      <c r="C1054" t="s">
        <v>2368</v>
      </c>
      <c r="D1054" t="s">
        <v>688</v>
      </c>
      <c r="E1054" t="s">
        <v>192</v>
      </c>
      <c r="F1054" t="s">
        <v>88</v>
      </c>
      <c r="G1054">
        <v>37.016666000000001</v>
      </c>
      <c r="H1054">
        <v>-110.200553</v>
      </c>
      <c r="K1054" t="s">
        <v>155</v>
      </c>
      <c r="L1054">
        <v>1</v>
      </c>
      <c r="M1054" t="s">
        <v>90</v>
      </c>
      <c r="N1054" t="s">
        <v>91</v>
      </c>
      <c r="O1054" t="s">
        <v>92</v>
      </c>
      <c r="S1054" t="s">
        <v>108</v>
      </c>
      <c r="T1054" t="s">
        <v>102</v>
      </c>
      <c r="U1054" t="s">
        <v>248</v>
      </c>
    </row>
    <row r="1055" spans="1:22" x14ac:dyDescent="0.3">
      <c r="A1055" t="s">
        <v>2377</v>
      </c>
      <c r="B1055" s="6" t="str">
        <f>HYPERLINK("http://data.ntsb.gov/carol-repgen/api/Aviation/ReportMain/GenerateNewestReport/100450/pdf","AccidentReport")</f>
        <v>AccidentReport</v>
      </c>
      <c r="C1055" t="s">
        <v>2368</v>
      </c>
      <c r="D1055" t="s">
        <v>2378</v>
      </c>
      <c r="E1055" t="s">
        <v>154</v>
      </c>
      <c r="F1055" t="s">
        <v>88</v>
      </c>
      <c r="G1055">
        <v>31.654722</v>
      </c>
      <c r="H1055">
        <v>-106.303337</v>
      </c>
      <c r="K1055" t="s">
        <v>89</v>
      </c>
      <c r="L1055">
        <v>1</v>
      </c>
      <c r="M1055" t="s">
        <v>90</v>
      </c>
      <c r="N1055" t="s">
        <v>91</v>
      </c>
      <c r="O1055" t="s">
        <v>169</v>
      </c>
      <c r="S1055" t="s">
        <v>515</v>
      </c>
      <c r="T1055" t="s">
        <v>113</v>
      </c>
      <c r="U1055" t="s">
        <v>103</v>
      </c>
    </row>
    <row r="1056" spans="1:22" x14ac:dyDescent="0.3">
      <c r="A1056" t="s">
        <v>2379</v>
      </c>
      <c r="B1056" s="6" t="str">
        <f>HYPERLINK("http://data.ntsb.gov/carol-repgen/api/Aviation/ReportMain/GenerateNewestReport/100452/pdf","AccidentReport")</f>
        <v>AccidentReport</v>
      </c>
      <c r="C1056" t="s">
        <v>2368</v>
      </c>
      <c r="D1056" t="s">
        <v>2380</v>
      </c>
      <c r="E1056" t="s">
        <v>290</v>
      </c>
      <c r="F1056" t="s">
        <v>88</v>
      </c>
      <c r="G1056">
        <v>36.509998000000003</v>
      </c>
      <c r="H1056">
        <v>-114.37583100000001</v>
      </c>
      <c r="K1056" t="s">
        <v>89</v>
      </c>
      <c r="L1056">
        <v>1</v>
      </c>
      <c r="M1056" t="s">
        <v>90</v>
      </c>
      <c r="N1056" t="s">
        <v>100</v>
      </c>
      <c r="O1056" t="s">
        <v>92</v>
      </c>
      <c r="S1056" t="s">
        <v>93</v>
      </c>
      <c r="T1056" t="s">
        <v>109</v>
      </c>
      <c r="U1056" t="s">
        <v>95</v>
      </c>
    </row>
    <row r="1057" spans="1:21" x14ac:dyDescent="0.3">
      <c r="A1057" t="s">
        <v>2381</v>
      </c>
      <c r="B1057" s="6" t="str">
        <f>HYPERLINK("http://data.ntsb.gov/carol-repgen/api/Aviation/ReportMain/GenerateNewestReport/100488/pdf","AccidentReport")</f>
        <v>AccidentReport</v>
      </c>
      <c r="C1057" t="s">
        <v>2368</v>
      </c>
      <c r="D1057" t="s">
        <v>2382</v>
      </c>
      <c r="E1057" t="s">
        <v>154</v>
      </c>
      <c r="F1057" t="s">
        <v>88</v>
      </c>
      <c r="G1057">
        <v>29.705832999999998</v>
      </c>
      <c r="H1057">
        <v>-98.043334000000002</v>
      </c>
      <c r="K1057" t="s">
        <v>89</v>
      </c>
      <c r="L1057">
        <v>1</v>
      </c>
      <c r="M1057" t="s">
        <v>90</v>
      </c>
      <c r="N1057" t="s">
        <v>91</v>
      </c>
      <c r="O1057" t="s">
        <v>92</v>
      </c>
      <c r="S1057" t="s">
        <v>108</v>
      </c>
      <c r="T1057" t="s">
        <v>94</v>
      </c>
      <c r="U1057" t="s">
        <v>95</v>
      </c>
    </row>
    <row r="1058" spans="1:21" x14ac:dyDescent="0.3">
      <c r="A1058" t="s">
        <v>2383</v>
      </c>
      <c r="B1058" s="6" t="str">
        <f>HYPERLINK("http://data.ntsb.gov/carol-repgen/api/Aviation/ReportMain/GenerateNewestReport/100464/pdf","AccidentReport")</f>
        <v>AccidentReport</v>
      </c>
      <c r="C1058" t="s">
        <v>2368</v>
      </c>
      <c r="D1058" t="s">
        <v>1861</v>
      </c>
      <c r="E1058" t="s">
        <v>106</v>
      </c>
      <c r="F1058" t="s">
        <v>88</v>
      </c>
      <c r="G1058">
        <v>37.895556999999997</v>
      </c>
      <c r="H1058">
        <v>-121.259445</v>
      </c>
      <c r="K1058" t="s">
        <v>155</v>
      </c>
      <c r="L1058">
        <v>1</v>
      </c>
      <c r="M1058" t="s">
        <v>90</v>
      </c>
      <c r="N1058" t="s">
        <v>91</v>
      </c>
      <c r="O1058" t="s">
        <v>295</v>
      </c>
      <c r="S1058" t="s">
        <v>93</v>
      </c>
      <c r="T1058" t="s">
        <v>159</v>
      </c>
      <c r="U1058" t="s">
        <v>248</v>
      </c>
    </row>
    <row r="1059" spans="1:21" x14ac:dyDescent="0.3">
      <c r="A1059" t="s">
        <v>2384</v>
      </c>
      <c r="B1059" s="6" t="str">
        <f>HYPERLINK("http://data.ntsb.gov/carol-repgen/api/Aviation/ReportMain/GenerateNewestReport/100438/pdf","AccidentReport")</f>
        <v>AccidentReport</v>
      </c>
      <c r="C1059" t="s">
        <v>2385</v>
      </c>
      <c r="D1059" t="s">
        <v>2386</v>
      </c>
      <c r="E1059" t="s">
        <v>117</v>
      </c>
      <c r="F1059" t="s">
        <v>88</v>
      </c>
      <c r="G1059">
        <v>40.743330999999998</v>
      </c>
      <c r="H1059">
        <v>-76.018332999999998</v>
      </c>
      <c r="I1059">
        <v>1</v>
      </c>
      <c r="K1059" t="s">
        <v>107</v>
      </c>
      <c r="L1059">
        <v>1</v>
      </c>
      <c r="M1059" t="s">
        <v>90</v>
      </c>
      <c r="N1059" t="s">
        <v>893</v>
      </c>
      <c r="O1059" t="s">
        <v>92</v>
      </c>
      <c r="S1059" t="s">
        <v>108</v>
      </c>
      <c r="T1059" t="s">
        <v>102</v>
      </c>
      <c r="U1059" t="s">
        <v>103</v>
      </c>
    </row>
    <row r="1060" spans="1:21" x14ac:dyDescent="0.3">
      <c r="A1060" t="s">
        <v>2387</v>
      </c>
      <c r="B1060" s="6" t="str">
        <f>HYPERLINK("http://data.ntsb.gov/carol-repgen/api/Aviation/ReportMain/GenerateNewestReport/100471/pdf","AccidentReport")</f>
        <v>AccidentReport</v>
      </c>
      <c r="C1060" t="s">
        <v>2385</v>
      </c>
      <c r="D1060" t="s">
        <v>2388</v>
      </c>
      <c r="E1060" t="s">
        <v>356</v>
      </c>
      <c r="F1060" t="s">
        <v>88</v>
      </c>
      <c r="G1060">
        <v>31.642220999999999</v>
      </c>
      <c r="H1060">
        <v>-84.587776000000005</v>
      </c>
      <c r="I1060">
        <v>0</v>
      </c>
      <c r="J1060">
        <v>0</v>
      </c>
      <c r="K1060" t="s">
        <v>89</v>
      </c>
      <c r="L1060">
        <v>1</v>
      </c>
      <c r="M1060" t="s">
        <v>147</v>
      </c>
      <c r="N1060" t="s">
        <v>91</v>
      </c>
      <c r="O1060" t="s">
        <v>169</v>
      </c>
      <c r="S1060" t="s">
        <v>515</v>
      </c>
      <c r="T1060" t="s">
        <v>159</v>
      </c>
      <c r="U1060" t="s">
        <v>186</v>
      </c>
    </row>
    <row r="1061" spans="1:21" x14ac:dyDescent="0.3">
      <c r="A1061" t="s">
        <v>2389</v>
      </c>
      <c r="B1061" s="6" t="str">
        <f>HYPERLINK("http://data.ntsb.gov/carol-repgen/api/Aviation/ReportMain/GenerateNewestReport/100473/pdf","AccidentReport")</f>
        <v>AccidentReport</v>
      </c>
      <c r="C1061" t="s">
        <v>2385</v>
      </c>
      <c r="D1061" t="s">
        <v>2390</v>
      </c>
      <c r="E1061" t="s">
        <v>146</v>
      </c>
      <c r="F1061" t="s">
        <v>88</v>
      </c>
      <c r="G1061">
        <v>35.550556</v>
      </c>
      <c r="H1061">
        <v>-84.374442999999999</v>
      </c>
      <c r="K1061" t="s">
        <v>89</v>
      </c>
      <c r="L1061">
        <v>1</v>
      </c>
      <c r="M1061" t="s">
        <v>90</v>
      </c>
      <c r="N1061" t="s">
        <v>91</v>
      </c>
      <c r="O1061" t="s">
        <v>92</v>
      </c>
      <c r="S1061" t="s">
        <v>108</v>
      </c>
      <c r="T1061" t="s">
        <v>159</v>
      </c>
      <c r="U1061" t="s">
        <v>119</v>
      </c>
    </row>
    <row r="1062" spans="1:21" x14ac:dyDescent="0.3">
      <c r="A1062" t="s">
        <v>2391</v>
      </c>
      <c r="B1062" s="6" t="str">
        <f>HYPERLINK("http://data.ntsb.gov/carol-repgen/api/Aviation/ReportMain/GenerateNewestReport/100451/pdf","AccidentReport")</f>
        <v>AccidentReport</v>
      </c>
      <c r="C1062" t="s">
        <v>2385</v>
      </c>
      <c r="D1062" t="s">
        <v>1668</v>
      </c>
      <c r="E1062" t="s">
        <v>106</v>
      </c>
      <c r="F1062" t="s">
        <v>88</v>
      </c>
      <c r="G1062">
        <v>36.198054999999997</v>
      </c>
      <c r="H1062">
        <v>-121.110275</v>
      </c>
      <c r="K1062" t="s">
        <v>155</v>
      </c>
      <c r="L1062">
        <v>1</v>
      </c>
      <c r="M1062" t="s">
        <v>90</v>
      </c>
      <c r="N1062" t="s">
        <v>100</v>
      </c>
      <c r="O1062" t="s">
        <v>169</v>
      </c>
      <c r="S1062" t="s">
        <v>515</v>
      </c>
      <c r="T1062" t="s">
        <v>109</v>
      </c>
      <c r="U1062" t="s">
        <v>95</v>
      </c>
    </row>
    <row r="1063" spans="1:21" x14ac:dyDescent="0.3">
      <c r="A1063" t="s">
        <v>2392</v>
      </c>
      <c r="B1063" s="6" t="str">
        <f>HYPERLINK("http://data.ntsb.gov/carol-repgen/api/Aviation/ReportMain/GenerateNewestReport/100453/pdf","AccidentReport")</f>
        <v>AccidentReport</v>
      </c>
      <c r="C1063" t="s">
        <v>2385</v>
      </c>
      <c r="D1063" t="s">
        <v>2393</v>
      </c>
      <c r="E1063" t="s">
        <v>125</v>
      </c>
      <c r="F1063" t="s">
        <v>88</v>
      </c>
      <c r="G1063">
        <v>36.810831999999998</v>
      </c>
      <c r="H1063">
        <v>-111.644447</v>
      </c>
      <c r="K1063" t="s">
        <v>89</v>
      </c>
      <c r="L1063">
        <v>1</v>
      </c>
      <c r="M1063" t="s">
        <v>90</v>
      </c>
      <c r="N1063" t="s">
        <v>91</v>
      </c>
      <c r="O1063" t="s">
        <v>92</v>
      </c>
      <c r="S1063" t="s">
        <v>108</v>
      </c>
      <c r="T1063" t="s">
        <v>94</v>
      </c>
      <c r="U1063" t="s">
        <v>248</v>
      </c>
    </row>
    <row r="1064" spans="1:21" x14ac:dyDescent="0.3">
      <c r="A1064" t="s">
        <v>2394</v>
      </c>
      <c r="B1064" s="6" t="str">
        <f>HYPERLINK("http://data.ntsb.gov/carol-repgen/api/Aviation/ReportMain/GenerateNewestReport/100478/pdf","AccidentReport")</f>
        <v>AccidentReport</v>
      </c>
      <c r="C1064" t="s">
        <v>2385</v>
      </c>
      <c r="D1064" t="s">
        <v>1325</v>
      </c>
      <c r="E1064" t="s">
        <v>146</v>
      </c>
      <c r="F1064" t="s">
        <v>88</v>
      </c>
      <c r="G1064">
        <v>35.963054</v>
      </c>
      <c r="H1064">
        <v>-83.876662999999994</v>
      </c>
      <c r="K1064" t="s">
        <v>89</v>
      </c>
      <c r="L1064">
        <v>1</v>
      </c>
      <c r="M1064" t="s">
        <v>90</v>
      </c>
      <c r="N1064" t="s">
        <v>91</v>
      </c>
      <c r="O1064" t="s">
        <v>92</v>
      </c>
      <c r="S1064" t="s">
        <v>108</v>
      </c>
      <c r="T1064" t="s">
        <v>109</v>
      </c>
      <c r="U1064" t="s">
        <v>95</v>
      </c>
    </row>
    <row r="1065" spans="1:21" x14ac:dyDescent="0.3">
      <c r="A1065" t="s">
        <v>2395</v>
      </c>
      <c r="B1065" s="6" t="str">
        <f>HYPERLINK("http://data.ntsb.gov/carol-repgen/api/Aviation/ReportMain/GenerateNewestReport/100474/pdf","AccidentReport")</f>
        <v>AccidentReport</v>
      </c>
      <c r="C1065" t="s">
        <v>2396</v>
      </c>
      <c r="D1065" t="s">
        <v>2397</v>
      </c>
      <c r="F1065" t="s">
        <v>2398</v>
      </c>
      <c r="G1065">
        <v>13.732950000000001</v>
      </c>
      <c r="H1065">
        <v>-89.273016999999996</v>
      </c>
      <c r="I1065">
        <v>2</v>
      </c>
      <c r="J1065">
        <v>2</v>
      </c>
      <c r="K1065" t="s">
        <v>107</v>
      </c>
      <c r="L1065">
        <v>1</v>
      </c>
      <c r="M1065" t="s">
        <v>147</v>
      </c>
      <c r="N1065" t="s">
        <v>91</v>
      </c>
      <c r="O1065" t="s">
        <v>240</v>
      </c>
      <c r="S1065" t="s">
        <v>381</v>
      </c>
      <c r="T1065" t="s">
        <v>332</v>
      </c>
      <c r="U1065" t="s">
        <v>186</v>
      </c>
    </row>
    <row r="1066" spans="1:21" x14ac:dyDescent="0.3">
      <c r="A1066" t="s">
        <v>2399</v>
      </c>
      <c r="B1066" s="6" t="str">
        <f>HYPERLINK("http://data.ntsb.gov/carol-repgen/api/Aviation/ReportMain/GenerateNewestReport/100454/pdf","AccidentReport")</f>
        <v>AccidentReport</v>
      </c>
      <c r="C1066" t="s">
        <v>2396</v>
      </c>
      <c r="D1066" t="s">
        <v>2400</v>
      </c>
      <c r="E1066" t="s">
        <v>128</v>
      </c>
      <c r="F1066" t="s">
        <v>88</v>
      </c>
      <c r="G1066">
        <v>35.084445000000002</v>
      </c>
      <c r="H1066">
        <v>-106.65027600000001</v>
      </c>
      <c r="K1066" t="s">
        <v>89</v>
      </c>
      <c r="L1066">
        <v>1</v>
      </c>
      <c r="M1066" t="s">
        <v>90</v>
      </c>
      <c r="N1066" t="s">
        <v>670</v>
      </c>
      <c r="O1066" t="s">
        <v>92</v>
      </c>
      <c r="S1066" t="s">
        <v>173</v>
      </c>
      <c r="T1066" t="s">
        <v>411</v>
      </c>
      <c r="U1066" t="s">
        <v>95</v>
      </c>
    </row>
    <row r="1067" spans="1:21" x14ac:dyDescent="0.3">
      <c r="A1067" t="s">
        <v>2401</v>
      </c>
      <c r="B1067" s="6" t="str">
        <f>HYPERLINK("http://data.ntsb.gov/carol-repgen/api/Aviation/ReportMain/GenerateNewestReport/100458/pdf","AccidentReport")</f>
        <v>AccidentReport</v>
      </c>
      <c r="C1067" t="s">
        <v>2396</v>
      </c>
      <c r="D1067" t="s">
        <v>2402</v>
      </c>
      <c r="E1067" t="s">
        <v>125</v>
      </c>
      <c r="F1067" t="s">
        <v>88</v>
      </c>
      <c r="G1067">
        <v>32.693888999999999</v>
      </c>
      <c r="H1067">
        <v>-109.69027699999999</v>
      </c>
      <c r="K1067" t="s">
        <v>89</v>
      </c>
      <c r="L1067">
        <v>1</v>
      </c>
      <c r="M1067" t="s">
        <v>90</v>
      </c>
      <c r="N1067" t="s">
        <v>91</v>
      </c>
      <c r="O1067" t="s">
        <v>92</v>
      </c>
      <c r="S1067" t="s">
        <v>108</v>
      </c>
      <c r="T1067" t="s">
        <v>139</v>
      </c>
      <c r="U1067" t="s">
        <v>103</v>
      </c>
    </row>
    <row r="1068" spans="1:21" x14ac:dyDescent="0.3">
      <c r="A1068" t="s">
        <v>2403</v>
      </c>
      <c r="B1068" s="6" t="str">
        <f>HYPERLINK("http://data.ntsb.gov/carol-repgen/api/Aviation/ReportMain/GenerateNewestReport/100582/pdf","AccidentReport")</f>
        <v>AccidentReport</v>
      </c>
      <c r="C1068" t="s">
        <v>2396</v>
      </c>
      <c r="D1068" t="s">
        <v>2404</v>
      </c>
      <c r="E1068" t="s">
        <v>117</v>
      </c>
      <c r="F1068" t="s">
        <v>88</v>
      </c>
      <c r="G1068">
        <v>40.435276000000002</v>
      </c>
      <c r="H1068">
        <v>-75.381941999999995</v>
      </c>
      <c r="K1068" t="s">
        <v>89</v>
      </c>
      <c r="L1068">
        <v>1</v>
      </c>
      <c r="M1068" t="s">
        <v>90</v>
      </c>
      <c r="N1068" t="s">
        <v>91</v>
      </c>
      <c r="O1068" t="s">
        <v>92</v>
      </c>
      <c r="S1068" t="s">
        <v>93</v>
      </c>
      <c r="T1068" t="s">
        <v>94</v>
      </c>
      <c r="U1068" t="s">
        <v>95</v>
      </c>
    </row>
    <row r="1069" spans="1:21" x14ac:dyDescent="0.3">
      <c r="A1069" t="s">
        <v>2405</v>
      </c>
      <c r="B1069" s="6" t="str">
        <f>HYPERLINK("http://data.ntsb.gov/carol-repgen/api/Aviation/ReportMain/GenerateNewestReport/100456/pdf","AccidentReport")</f>
        <v>AccidentReport</v>
      </c>
      <c r="C1069" t="s">
        <v>2406</v>
      </c>
      <c r="D1069" t="s">
        <v>2407</v>
      </c>
      <c r="E1069" t="s">
        <v>786</v>
      </c>
      <c r="F1069" t="s">
        <v>88</v>
      </c>
      <c r="G1069">
        <v>33.749721000000001</v>
      </c>
      <c r="H1069">
        <v>-85.723335000000006</v>
      </c>
      <c r="I1069">
        <v>1</v>
      </c>
      <c r="K1069" t="s">
        <v>107</v>
      </c>
      <c r="L1069">
        <v>1</v>
      </c>
      <c r="M1069" t="s">
        <v>147</v>
      </c>
      <c r="N1069" t="s">
        <v>91</v>
      </c>
      <c r="O1069" t="s">
        <v>92</v>
      </c>
      <c r="S1069" t="s">
        <v>108</v>
      </c>
      <c r="T1069" t="s">
        <v>381</v>
      </c>
      <c r="U1069" t="s">
        <v>186</v>
      </c>
    </row>
    <row r="1070" spans="1:21" x14ac:dyDescent="0.3">
      <c r="A1070" t="s">
        <v>2408</v>
      </c>
      <c r="B1070" s="6" t="str">
        <f>HYPERLINK("http://data.ntsb.gov/carol-repgen/api/Aviation/ReportMain/GenerateNewestReport/100457/pdf","AccidentReport")</f>
        <v>AccidentReport</v>
      </c>
      <c r="C1070" t="s">
        <v>2406</v>
      </c>
      <c r="D1070" t="s">
        <v>2409</v>
      </c>
      <c r="E1070" t="s">
        <v>206</v>
      </c>
      <c r="F1070" t="s">
        <v>88</v>
      </c>
      <c r="G1070">
        <v>35.854166999999997</v>
      </c>
      <c r="H1070">
        <v>-78.757666999999998</v>
      </c>
      <c r="I1070">
        <v>2</v>
      </c>
      <c r="K1070" t="s">
        <v>107</v>
      </c>
      <c r="L1070">
        <v>1</v>
      </c>
      <c r="M1070" t="s">
        <v>147</v>
      </c>
      <c r="N1070" t="s">
        <v>91</v>
      </c>
      <c r="O1070" t="s">
        <v>92</v>
      </c>
      <c r="S1070" t="s">
        <v>108</v>
      </c>
      <c r="T1070" t="s">
        <v>332</v>
      </c>
      <c r="U1070" t="s">
        <v>119</v>
      </c>
    </row>
    <row r="1071" spans="1:21" x14ac:dyDescent="0.3">
      <c r="A1071" t="s">
        <v>2410</v>
      </c>
      <c r="B1071" s="6" t="str">
        <f>HYPERLINK("http://data.ntsb.gov/carol-repgen/api/Aviation/ReportMain/GenerateNewestReport/100455/pdf","AccidentReport")</f>
        <v>AccidentReport</v>
      </c>
      <c r="C1071" t="s">
        <v>2406</v>
      </c>
      <c r="D1071" t="s">
        <v>2411</v>
      </c>
      <c r="E1071" t="s">
        <v>98</v>
      </c>
      <c r="F1071" t="s">
        <v>88</v>
      </c>
      <c r="G1071">
        <v>28.102777</v>
      </c>
      <c r="H1071">
        <v>-80.645278000000005</v>
      </c>
      <c r="K1071" t="s">
        <v>89</v>
      </c>
      <c r="L1071">
        <v>1</v>
      </c>
      <c r="M1071" t="s">
        <v>90</v>
      </c>
      <c r="N1071" t="s">
        <v>91</v>
      </c>
      <c r="O1071" t="s">
        <v>92</v>
      </c>
      <c r="S1071" t="s">
        <v>93</v>
      </c>
      <c r="T1071" t="s">
        <v>542</v>
      </c>
      <c r="U1071" t="s">
        <v>186</v>
      </c>
    </row>
    <row r="1072" spans="1:21" x14ac:dyDescent="0.3">
      <c r="A1072" t="s">
        <v>2412</v>
      </c>
      <c r="B1072" s="6" t="str">
        <f>HYPERLINK("http://data.ntsb.gov/carol-repgen/api/Aviation/ReportMain/GenerateNewestReport/100440/pdf","AccidentReport")</f>
        <v>AccidentReport</v>
      </c>
      <c r="C1072" t="s">
        <v>2406</v>
      </c>
      <c r="D1072" t="s">
        <v>2413</v>
      </c>
      <c r="E1072" t="s">
        <v>128</v>
      </c>
      <c r="F1072" t="s">
        <v>88</v>
      </c>
      <c r="G1072">
        <v>36.393053999999999</v>
      </c>
      <c r="H1072">
        <v>-105.286941</v>
      </c>
      <c r="I1072">
        <v>2</v>
      </c>
      <c r="K1072" t="s">
        <v>107</v>
      </c>
      <c r="L1072">
        <v>1</v>
      </c>
      <c r="M1072" t="s">
        <v>90</v>
      </c>
      <c r="N1072" t="s">
        <v>91</v>
      </c>
      <c r="O1072" t="s">
        <v>92</v>
      </c>
      <c r="S1072" t="s">
        <v>108</v>
      </c>
      <c r="T1072" t="s">
        <v>411</v>
      </c>
      <c r="U1072" t="s">
        <v>248</v>
      </c>
    </row>
    <row r="1073" spans="1:21" x14ac:dyDescent="0.3">
      <c r="A1073" t="s">
        <v>2414</v>
      </c>
      <c r="B1073" s="6" t="str">
        <f>HYPERLINK("http://data.ntsb.gov/carol-repgen/api/Aviation/ReportMain/GenerateNewestReport/100476/pdf","AccidentReport")</f>
        <v>AccidentReport</v>
      </c>
      <c r="C1073" t="s">
        <v>2415</v>
      </c>
      <c r="D1073" t="s">
        <v>2416</v>
      </c>
      <c r="E1073" t="s">
        <v>408</v>
      </c>
      <c r="F1073" t="s">
        <v>88</v>
      </c>
      <c r="G1073">
        <v>41.334719999999997</v>
      </c>
      <c r="H1073">
        <v>-70.299446000000003</v>
      </c>
      <c r="K1073" t="s">
        <v>89</v>
      </c>
      <c r="L1073">
        <v>1</v>
      </c>
      <c r="M1073" t="s">
        <v>90</v>
      </c>
      <c r="N1073" t="s">
        <v>91</v>
      </c>
      <c r="O1073" t="s">
        <v>92</v>
      </c>
      <c r="S1073" t="s">
        <v>108</v>
      </c>
      <c r="T1073" t="s">
        <v>94</v>
      </c>
      <c r="U1073" t="s">
        <v>95</v>
      </c>
    </row>
    <row r="1074" spans="1:21" x14ac:dyDescent="0.3">
      <c r="A1074" t="s">
        <v>2417</v>
      </c>
      <c r="B1074" s="6" t="str">
        <f>HYPERLINK("http://data.ntsb.gov/carol-repgen/api/Aviation/ReportMain/GenerateNewestReport/100480/pdf","AccidentReport")</f>
        <v>AccidentReport</v>
      </c>
      <c r="C1074" t="s">
        <v>2415</v>
      </c>
      <c r="D1074" t="s">
        <v>2418</v>
      </c>
      <c r="E1074" t="s">
        <v>98</v>
      </c>
      <c r="F1074" t="s">
        <v>88</v>
      </c>
      <c r="G1074">
        <v>28.473610999999998</v>
      </c>
      <c r="H1074">
        <v>-82.455557999999996</v>
      </c>
      <c r="K1074" t="s">
        <v>89</v>
      </c>
      <c r="L1074">
        <v>1</v>
      </c>
      <c r="M1074" t="s">
        <v>90</v>
      </c>
      <c r="N1074" t="s">
        <v>862</v>
      </c>
      <c r="O1074" t="s">
        <v>92</v>
      </c>
      <c r="S1074" t="s">
        <v>108</v>
      </c>
      <c r="T1074" t="s">
        <v>442</v>
      </c>
      <c r="U1074" t="s">
        <v>248</v>
      </c>
    </row>
    <row r="1075" spans="1:21" x14ac:dyDescent="0.3">
      <c r="A1075" t="s">
        <v>2419</v>
      </c>
      <c r="B1075" s="6" t="str">
        <f>HYPERLINK("http://data.ntsb.gov/carol-repgen/api/Aviation/ReportMain/GenerateNewestReport/100477/pdf","AccidentReport")</f>
        <v>AccidentReport</v>
      </c>
      <c r="C1075" t="s">
        <v>2420</v>
      </c>
      <c r="D1075" t="s">
        <v>2421</v>
      </c>
      <c r="E1075" t="s">
        <v>154</v>
      </c>
      <c r="F1075" t="s">
        <v>88</v>
      </c>
      <c r="G1075">
        <v>32.734999999999999</v>
      </c>
      <c r="H1075">
        <v>-101.743331</v>
      </c>
      <c r="J1075">
        <v>1</v>
      </c>
      <c r="K1075" t="s">
        <v>99</v>
      </c>
      <c r="L1075">
        <v>1</v>
      </c>
      <c r="M1075" t="s">
        <v>155</v>
      </c>
      <c r="N1075" t="s">
        <v>91</v>
      </c>
      <c r="O1075" t="s">
        <v>169</v>
      </c>
      <c r="S1075" t="s">
        <v>515</v>
      </c>
      <c r="T1075" t="s">
        <v>442</v>
      </c>
      <c r="U1075" t="s">
        <v>103</v>
      </c>
    </row>
    <row r="1076" spans="1:21" x14ac:dyDescent="0.3">
      <c r="A1076" t="s">
        <v>2422</v>
      </c>
      <c r="B1076" s="6" t="str">
        <f>HYPERLINK("http://data.ntsb.gov/carol-repgen/api/Aviation/ReportMain/GenerateNewestReport/100479/pdf","AccidentReport")</f>
        <v>AccidentReport</v>
      </c>
      <c r="C1076" t="s">
        <v>2420</v>
      </c>
      <c r="D1076" t="s">
        <v>2423</v>
      </c>
      <c r="E1076" t="s">
        <v>192</v>
      </c>
      <c r="F1076" t="s">
        <v>88</v>
      </c>
      <c r="G1076">
        <v>39.139167</v>
      </c>
      <c r="H1076">
        <v>-112.275001</v>
      </c>
      <c r="K1076" t="s">
        <v>89</v>
      </c>
      <c r="L1076">
        <v>1</v>
      </c>
      <c r="M1076" t="s">
        <v>90</v>
      </c>
      <c r="N1076" t="s">
        <v>91</v>
      </c>
      <c r="O1076" t="s">
        <v>92</v>
      </c>
      <c r="S1076" t="s">
        <v>108</v>
      </c>
      <c r="T1076" t="s">
        <v>159</v>
      </c>
      <c r="U1076" t="s">
        <v>186</v>
      </c>
    </row>
    <row r="1077" spans="1:21" x14ac:dyDescent="0.3">
      <c r="A1077" t="s">
        <v>2424</v>
      </c>
      <c r="B1077" s="6" t="str">
        <f>HYPERLINK("http://data.ntsb.gov/carol-repgen/api/Aviation/ReportMain/GenerateNewestReport/100475/pdf","AccidentReport")</f>
        <v>AccidentReport</v>
      </c>
      <c r="C1077" t="s">
        <v>2425</v>
      </c>
      <c r="D1077" t="s">
        <v>2426</v>
      </c>
      <c r="E1077" t="s">
        <v>154</v>
      </c>
      <c r="F1077" t="s">
        <v>88</v>
      </c>
      <c r="G1077">
        <v>27.372499000000001</v>
      </c>
      <c r="H1077">
        <v>-98.633330999999998</v>
      </c>
      <c r="I1077">
        <v>2</v>
      </c>
      <c r="J1077">
        <v>1</v>
      </c>
      <c r="K1077" t="s">
        <v>107</v>
      </c>
      <c r="L1077">
        <v>1</v>
      </c>
      <c r="M1077" t="s">
        <v>147</v>
      </c>
      <c r="N1077" t="s">
        <v>100</v>
      </c>
      <c r="O1077" t="s">
        <v>92</v>
      </c>
      <c r="S1077" t="s">
        <v>173</v>
      </c>
      <c r="T1077" t="s">
        <v>287</v>
      </c>
      <c r="U1077" t="s">
        <v>103</v>
      </c>
    </row>
    <row r="1078" spans="1:21" x14ac:dyDescent="0.3">
      <c r="A1078" t="s">
        <v>2424</v>
      </c>
      <c r="B1078" s="6" t="str">
        <f>HYPERLINK("http://data.ntsb.gov/carol-repgen/api/Aviation/ReportMain/GenerateNewestReport/100475/pdf","AccidentReport")</f>
        <v>AccidentReport</v>
      </c>
      <c r="C1078" t="s">
        <v>2425</v>
      </c>
      <c r="D1078" t="s">
        <v>2426</v>
      </c>
      <c r="E1078" t="s">
        <v>154</v>
      </c>
      <c r="F1078" t="s">
        <v>88</v>
      </c>
      <c r="G1078">
        <v>27.372499000000001</v>
      </c>
      <c r="H1078">
        <v>-98.633330999999998</v>
      </c>
      <c r="I1078">
        <v>2</v>
      </c>
      <c r="J1078">
        <v>1</v>
      </c>
      <c r="K1078" t="s">
        <v>107</v>
      </c>
      <c r="L1078">
        <v>2</v>
      </c>
      <c r="M1078" t="s">
        <v>90</v>
      </c>
      <c r="N1078" t="s">
        <v>100</v>
      </c>
      <c r="O1078" t="s">
        <v>92</v>
      </c>
      <c r="S1078" t="s">
        <v>173</v>
      </c>
      <c r="T1078" t="s">
        <v>287</v>
      </c>
      <c r="U1078" t="s">
        <v>103</v>
      </c>
    </row>
    <row r="1079" spans="1:21" x14ac:dyDescent="0.3">
      <c r="A1079" t="s">
        <v>2427</v>
      </c>
      <c r="B1079" s="6" t="str">
        <f>HYPERLINK("http://data.ntsb.gov/carol-repgen/api/Aviation/ReportMain/GenerateNewestReport/100632/pdf","AccidentReport")</f>
        <v>AccidentReport</v>
      </c>
      <c r="C1079" t="s">
        <v>2425</v>
      </c>
      <c r="D1079" t="s">
        <v>868</v>
      </c>
      <c r="E1079" t="s">
        <v>786</v>
      </c>
      <c r="F1079" t="s">
        <v>88</v>
      </c>
      <c r="G1079">
        <v>32.510554999999997</v>
      </c>
      <c r="H1079">
        <v>-87.384719000000004</v>
      </c>
      <c r="K1079" t="s">
        <v>89</v>
      </c>
      <c r="L1079">
        <v>1</v>
      </c>
      <c r="M1079" t="s">
        <v>90</v>
      </c>
      <c r="N1079" t="s">
        <v>91</v>
      </c>
      <c r="O1079" t="s">
        <v>92</v>
      </c>
      <c r="S1079" t="s">
        <v>108</v>
      </c>
      <c r="T1079" t="s">
        <v>109</v>
      </c>
      <c r="U1079" t="s">
        <v>95</v>
      </c>
    </row>
    <row r="1080" spans="1:21" x14ac:dyDescent="0.3">
      <c r="A1080" t="s">
        <v>2428</v>
      </c>
      <c r="B1080" s="6" t="str">
        <f>HYPERLINK("http://data.ntsb.gov/carol-repgen/api/Aviation/ReportMain/GenerateNewestReport/100481/pdf","AccidentReport")</f>
        <v>AccidentReport</v>
      </c>
      <c r="C1080" t="s">
        <v>2425</v>
      </c>
      <c r="D1080" t="s">
        <v>2086</v>
      </c>
      <c r="E1080" t="s">
        <v>290</v>
      </c>
      <c r="F1080" t="s">
        <v>88</v>
      </c>
      <c r="G1080">
        <v>36.146945000000002</v>
      </c>
      <c r="H1080">
        <v>-115.381668</v>
      </c>
      <c r="I1080">
        <v>2</v>
      </c>
      <c r="K1080" t="s">
        <v>107</v>
      </c>
      <c r="L1080">
        <v>1</v>
      </c>
      <c r="M1080" t="s">
        <v>90</v>
      </c>
      <c r="N1080" t="s">
        <v>100</v>
      </c>
      <c r="O1080" t="s">
        <v>92</v>
      </c>
      <c r="S1080" t="s">
        <v>108</v>
      </c>
      <c r="T1080" t="s">
        <v>229</v>
      </c>
      <c r="U1080" t="s">
        <v>103</v>
      </c>
    </row>
    <row r="1081" spans="1:21" x14ac:dyDescent="0.3">
      <c r="A1081" t="s">
        <v>2429</v>
      </c>
      <c r="B1081" s="6" t="str">
        <f>HYPERLINK("http://data.ntsb.gov/carol-repgen/api/Aviation/ReportMain/GenerateNewestReport/100483/pdf","AccidentReport")</f>
        <v>AccidentReport</v>
      </c>
      <c r="C1081" t="s">
        <v>2425</v>
      </c>
      <c r="D1081" t="s">
        <v>2430</v>
      </c>
      <c r="E1081" t="s">
        <v>176</v>
      </c>
      <c r="F1081" t="s">
        <v>88</v>
      </c>
      <c r="G1081">
        <v>47.070278000000002</v>
      </c>
      <c r="H1081">
        <v>-122.371109</v>
      </c>
      <c r="J1081">
        <v>1</v>
      </c>
      <c r="K1081" t="s">
        <v>99</v>
      </c>
      <c r="L1081">
        <v>1</v>
      </c>
      <c r="M1081" t="s">
        <v>90</v>
      </c>
      <c r="N1081" t="s">
        <v>91</v>
      </c>
      <c r="O1081" t="s">
        <v>92</v>
      </c>
      <c r="S1081" t="s">
        <v>108</v>
      </c>
      <c r="T1081" t="s">
        <v>159</v>
      </c>
      <c r="U1081" t="s">
        <v>150</v>
      </c>
    </row>
    <row r="1082" spans="1:21" x14ac:dyDescent="0.3">
      <c r="A1082" t="s">
        <v>2431</v>
      </c>
      <c r="B1082" s="6" t="str">
        <f>HYPERLINK("http://data.ntsb.gov/carol-repgen/api/Aviation/ReportMain/GenerateNewestReport/100490/pdf","AccidentReport")</f>
        <v>AccidentReport</v>
      </c>
      <c r="C1082" t="s">
        <v>2432</v>
      </c>
      <c r="D1082" t="s">
        <v>2433</v>
      </c>
      <c r="E1082" t="s">
        <v>518</v>
      </c>
      <c r="F1082" t="s">
        <v>88</v>
      </c>
      <c r="G1082">
        <v>43.384166</v>
      </c>
      <c r="H1082">
        <v>-94.320273999999998</v>
      </c>
      <c r="K1082" t="s">
        <v>155</v>
      </c>
      <c r="L1082">
        <v>1</v>
      </c>
      <c r="M1082" t="s">
        <v>90</v>
      </c>
      <c r="N1082" t="s">
        <v>91</v>
      </c>
      <c r="O1082" t="s">
        <v>92</v>
      </c>
      <c r="S1082" t="s">
        <v>108</v>
      </c>
      <c r="T1082" t="s">
        <v>159</v>
      </c>
      <c r="U1082" t="s">
        <v>186</v>
      </c>
    </row>
    <row r="1083" spans="1:21" x14ac:dyDescent="0.3">
      <c r="A1083" t="s">
        <v>2434</v>
      </c>
      <c r="B1083" s="6" t="str">
        <f>HYPERLINK("http://data.ntsb.gov/carol-repgen/api/Aviation/ReportMain/GenerateNewestReport/100486/pdf","AccidentReport")</f>
        <v>AccidentReport</v>
      </c>
      <c r="C1083" t="s">
        <v>2432</v>
      </c>
      <c r="D1083" t="s">
        <v>2435</v>
      </c>
      <c r="E1083" t="s">
        <v>1289</v>
      </c>
      <c r="F1083" t="s">
        <v>88</v>
      </c>
      <c r="G1083">
        <v>39.253055000000003</v>
      </c>
      <c r="H1083">
        <v>-77.961112</v>
      </c>
      <c r="I1083">
        <v>2</v>
      </c>
      <c r="K1083" t="s">
        <v>107</v>
      </c>
      <c r="L1083">
        <v>1</v>
      </c>
      <c r="M1083" t="s">
        <v>147</v>
      </c>
      <c r="N1083" t="s">
        <v>91</v>
      </c>
      <c r="O1083" t="s">
        <v>92</v>
      </c>
      <c r="S1083" t="s">
        <v>108</v>
      </c>
      <c r="T1083" t="s">
        <v>113</v>
      </c>
      <c r="U1083" t="s">
        <v>103</v>
      </c>
    </row>
    <row r="1084" spans="1:21" x14ac:dyDescent="0.3">
      <c r="A1084" t="s">
        <v>2436</v>
      </c>
      <c r="B1084" s="6" t="str">
        <f>HYPERLINK("http://data.ntsb.gov/carol-repgen/api/Aviation/ReportMain/GenerateNewestReport/100619/pdf","AccidentReport")</f>
        <v>AccidentReport</v>
      </c>
      <c r="C1084" t="s">
        <v>2432</v>
      </c>
      <c r="D1084" t="s">
        <v>2437</v>
      </c>
      <c r="E1084" t="s">
        <v>98</v>
      </c>
      <c r="F1084" t="s">
        <v>88</v>
      </c>
      <c r="G1084">
        <v>28.7075</v>
      </c>
      <c r="H1084">
        <v>-81.581947</v>
      </c>
      <c r="K1084" t="s">
        <v>89</v>
      </c>
      <c r="L1084">
        <v>1</v>
      </c>
      <c r="M1084" t="s">
        <v>90</v>
      </c>
      <c r="N1084" t="s">
        <v>91</v>
      </c>
      <c r="O1084" t="s">
        <v>92</v>
      </c>
      <c r="S1084" t="s">
        <v>93</v>
      </c>
      <c r="T1084" t="s">
        <v>109</v>
      </c>
      <c r="U1084" t="s">
        <v>95</v>
      </c>
    </row>
    <row r="1085" spans="1:21" x14ac:dyDescent="0.3">
      <c r="A1085" t="s">
        <v>2438</v>
      </c>
      <c r="B1085" s="6" t="str">
        <f>HYPERLINK("http://data.ntsb.gov/carol-repgen/api/Aviation/ReportMain/GenerateNewestReport/100609/pdf","AccidentReport")</f>
        <v>AccidentReport</v>
      </c>
      <c r="C1085" t="s">
        <v>2432</v>
      </c>
      <c r="D1085" t="s">
        <v>2439</v>
      </c>
      <c r="E1085" t="s">
        <v>106</v>
      </c>
      <c r="F1085" t="s">
        <v>88</v>
      </c>
      <c r="G1085">
        <v>39.789164999999997</v>
      </c>
      <c r="H1085">
        <v>-123.971107</v>
      </c>
      <c r="I1085">
        <v>2</v>
      </c>
      <c r="K1085" t="s">
        <v>107</v>
      </c>
      <c r="L1085">
        <v>1</v>
      </c>
      <c r="M1085" t="s">
        <v>147</v>
      </c>
      <c r="N1085" t="s">
        <v>91</v>
      </c>
      <c r="O1085" t="s">
        <v>92</v>
      </c>
      <c r="S1085" t="s">
        <v>108</v>
      </c>
      <c r="T1085" t="s">
        <v>381</v>
      </c>
      <c r="U1085" t="s">
        <v>381</v>
      </c>
    </row>
    <row r="1086" spans="1:21" x14ac:dyDescent="0.3">
      <c r="A1086" t="s">
        <v>2440</v>
      </c>
      <c r="B1086" s="6" t="str">
        <f>HYPERLINK("http://data.ntsb.gov/carol-repgen/api/Aviation/ReportMain/GenerateNewestReport/100510/pdf","AccidentReport")</f>
        <v>AccidentReport</v>
      </c>
      <c r="C1086" t="s">
        <v>2432</v>
      </c>
      <c r="D1086" t="s">
        <v>2441</v>
      </c>
      <c r="E1086" t="s">
        <v>125</v>
      </c>
      <c r="F1086" t="s">
        <v>88</v>
      </c>
      <c r="G1086">
        <v>34.158332000000001</v>
      </c>
      <c r="H1086">
        <v>-111.731666</v>
      </c>
      <c r="K1086" t="s">
        <v>89</v>
      </c>
      <c r="L1086">
        <v>1</v>
      </c>
      <c r="M1086" t="s">
        <v>90</v>
      </c>
      <c r="N1086" t="s">
        <v>91</v>
      </c>
      <c r="O1086" t="s">
        <v>92</v>
      </c>
      <c r="S1086" t="s">
        <v>108</v>
      </c>
      <c r="T1086" t="s">
        <v>411</v>
      </c>
      <c r="U1086" t="s">
        <v>95</v>
      </c>
    </row>
    <row r="1087" spans="1:21" x14ac:dyDescent="0.3">
      <c r="A1087" t="s">
        <v>2442</v>
      </c>
      <c r="B1087" s="6" t="str">
        <f>HYPERLINK("http://data.ntsb.gov/carol-repgen/api/Aviation/ReportMain/GenerateNewestReport/100502/pdf","AccidentReport")</f>
        <v>AccidentReport</v>
      </c>
      <c r="C1087" t="s">
        <v>2443</v>
      </c>
      <c r="D1087" t="s">
        <v>2444</v>
      </c>
      <c r="E1087" t="s">
        <v>98</v>
      </c>
      <c r="F1087" t="s">
        <v>88</v>
      </c>
      <c r="G1087">
        <v>25.913055</v>
      </c>
      <c r="H1087">
        <v>-80.282218</v>
      </c>
      <c r="K1087" t="s">
        <v>89</v>
      </c>
      <c r="L1087">
        <v>1</v>
      </c>
      <c r="M1087" t="s">
        <v>90</v>
      </c>
      <c r="N1087" t="s">
        <v>91</v>
      </c>
      <c r="O1087" t="s">
        <v>92</v>
      </c>
      <c r="S1087" t="s">
        <v>93</v>
      </c>
      <c r="T1087" t="s">
        <v>94</v>
      </c>
      <c r="U1087" t="s">
        <v>248</v>
      </c>
    </row>
    <row r="1088" spans="1:21" x14ac:dyDescent="0.3">
      <c r="A1088" t="s">
        <v>2445</v>
      </c>
      <c r="B1088" s="6" t="str">
        <f>HYPERLINK("http://data.ntsb.gov/carol-repgen/api/Aviation/ReportMain/GenerateNewestReport/100491/pdf","AccidentReport")</f>
        <v>AccidentReport</v>
      </c>
      <c r="C1088" t="s">
        <v>2443</v>
      </c>
      <c r="D1088" t="s">
        <v>2446</v>
      </c>
      <c r="E1088" t="s">
        <v>122</v>
      </c>
      <c r="F1088" t="s">
        <v>88</v>
      </c>
      <c r="G1088">
        <v>42.777777999999998</v>
      </c>
      <c r="H1088">
        <v>-112.89499600000001</v>
      </c>
      <c r="I1088">
        <v>1</v>
      </c>
      <c r="K1088" t="s">
        <v>107</v>
      </c>
      <c r="L1088">
        <v>1</v>
      </c>
      <c r="M1088" t="s">
        <v>90</v>
      </c>
      <c r="N1088" t="s">
        <v>91</v>
      </c>
      <c r="O1088" t="s">
        <v>92</v>
      </c>
      <c r="S1088" t="s">
        <v>108</v>
      </c>
      <c r="T1088" t="s">
        <v>102</v>
      </c>
      <c r="U1088" t="s">
        <v>103</v>
      </c>
    </row>
    <row r="1089" spans="1:21" x14ac:dyDescent="0.3">
      <c r="A1089" t="s">
        <v>2447</v>
      </c>
      <c r="B1089" s="6" t="str">
        <f>HYPERLINK("http://data.ntsb.gov/carol-repgen/api/Aviation/ReportMain/GenerateNewestReport/100492/pdf","AccidentReport")</f>
        <v>AccidentReport</v>
      </c>
      <c r="C1089" t="s">
        <v>2443</v>
      </c>
      <c r="D1089" t="s">
        <v>2448</v>
      </c>
      <c r="E1089" t="s">
        <v>251</v>
      </c>
      <c r="F1089" t="s">
        <v>88</v>
      </c>
      <c r="G1089">
        <v>43.394720999999997</v>
      </c>
      <c r="H1089">
        <v>-117.046943</v>
      </c>
      <c r="I1089">
        <v>1</v>
      </c>
      <c r="J1089">
        <v>1</v>
      </c>
      <c r="K1089" t="s">
        <v>107</v>
      </c>
      <c r="L1089">
        <v>1</v>
      </c>
      <c r="M1089" t="s">
        <v>90</v>
      </c>
      <c r="N1089" t="s">
        <v>100</v>
      </c>
      <c r="O1089" t="s">
        <v>92</v>
      </c>
      <c r="S1089" t="s">
        <v>108</v>
      </c>
      <c r="T1089" t="s">
        <v>381</v>
      </c>
      <c r="U1089" t="s">
        <v>186</v>
      </c>
    </row>
    <row r="1090" spans="1:21" x14ac:dyDescent="0.3">
      <c r="A1090" t="s">
        <v>2449</v>
      </c>
      <c r="B1090" s="6" t="str">
        <f>HYPERLINK("http://data.ntsb.gov/carol-repgen/api/Aviation/ReportMain/GenerateNewestReport/100504/pdf","AccidentReport")</f>
        <v>AccidentReport</v>
      </c>
      <c r="C1090" t="s">
        <v>2450</v>
      </c>
      <c r="D1090" t="s">
        <v>2451</v>
      </c>
      <c r="E1090" t="s">
        <v>98</v>
      </c>
      <c r="F1090" t="s">
        <v>88</v>
      </c>
      <c r="G1090">
        <v>28.800556</v>
      </c>
      <c r="H1090">
        <v>-81.727774999999994</v>
      </c>
      <c r="K1090" t="s">
        <v>89</v>
      </c>
      <c r="L1090">
        <v>1</v>
      </c>
      <c r="M1090" t="s">
        <v>90</v>
      </c>
      <c r="N1090" t="s">
        <v>91</v>
      </c>
      <c r="O1090" t="s">
        <v>92</v>
      </c>
      <c r="S1090" t="s">
        <v>108</v>
      </c>
      <c r="T1090" t="s">
        <v>102</v>
      </c>
      <c r="U1090" t="s">
        <v>119</v>
      </c>
    </row>
    <row r="1091" spans="1:21" x14ac:dyDescent="0.3">
      <c r="A1091" t="s">
        <v>2452</v>
      </c>
      <c r="B1091" s="6" t="str">
        <f>HYPERLINK("http://data.ntsb.gov/carol-repgen/api/Aviation/ReportMain/GenerateNewestReport/100495/pdf","AccidentReport")</f>
        <v>AccidentReport</v>
      </c>
      <c r="C1091" t="s">
        <v>2453</v>
      </c>
      <c r="D1091" t="s">
        <v>2454</v>
      </c>
      <c r="E1091" t="s">
        <v>87</v>
      </c>
      <c r="F1091" t="s">
        <v>88</v>
      </c>
      <c r="G1091">
        <v>45.116664</v>
      </c>
      <c r="H1091">
        <v>-92.996109000000004</v>
      </c>
      <c r="J1091">
        <v>1</v>
      </c>
      <c r="K1091" t="s">
        <v>99</v>
      </c>
      <c r="L1091">
        <v>1</v>
      </c>
      <c r="M1091" t="s">
        <v>147</v>
      </c>
      <c r="N1091" t="s">
        <v>91</v>
      </c>
      <c r="O1091" t="s">
        <v>92</v>
      </c>
      <c r="S1091" t="s">
        <v>108</v>
      </c>
      <c r="T1091" t="s">
        <v>118</v>
      </c>
      <c r="U1091" t="s">
        <v>248</v>
      </c>
    </row>
    <row r="1092" spans="1:21" x14ac:dyDescent="0.3">
      <c r="A1092" t="s">
        <v>2455</v>
      </c>
      <c r="B1092" s="6" t="str">
        <f>HYPERLINK("http://data.ntsb.gov/carol-repgen/api/Aviation/ReportMain/GenerateNewestReport/100511/pdf","AccidentReport")</f>
        <v>AccidentReport</v>
      </c>
      <c r="C1092" t="s">
        <v>2453</v>
      </c>
      <c r="D1092" t="s">
        <v>2456</v>
      </c>
      <c r="E1092" t="s">
        <v>786</v>
      </c>
      <c r="F1092" t="s">
        <v>88</v>
      </c>
      <c r="G1092">
        <v>30.568888999999999</v>
      </c>
      <c r="H1092">
        <v>-88.377219999999994</v>
      </c>
      <c r="K1092" t="s">
        <v>89</v>
      </c>
      <c r="L1092">
        <v>1</v>
      </c>
      <c r="M1092" t="s">
        <v>90</v>
      </c>
      <c r="N1092" t="s">
        <v>91</v>
      </c>
      <c r="O1092" t="s">
        <v>92</v>
      </c>
      <c r="S1092" t="s">
        <v>108</v>
      </c>
      <c r="T1092" t="s">
        <v>159</v>
      </c>
      <c r="U1092" t="s">
        <v>150</v>
      </c>
    </row>
    <row r="1093" spans="1:21" x14ac:dyDescent="0.3">
      <c r="A1093" t="s">
        <v>2457</v>
      </c>
      <c r="B1093" s="6" t="str">
        <f>HYPERLINK("http://data.ntsb.gov/carol-repgen/api/Aviation/ReportMain/GenerateNewestReport/100500/pdf","AccidentReport")</f>
        <v>AccidentReport</v>
      </c>
      <c r="C1093" t="s">
        <v>2453</v>
      </c>
      <c r="D1093" t="s">
        <v>2458</v>
      </c>
      <c r="E1093" t="s">
        <v>651</v>
      </c>
      <c r="F1093" t="s">
        <v>88</v>
      </c>
      <c r="G1093">
        <v>42.981388000000003</v>
      </c>
      <c r="H1093">
        <v>-77.935278999999994</v>
      </c>
      <c r="K1093" t="s">
        <v>155</v>
      </c>
      <c r="L1093">
        <v>1</v>
      </c>
      <c r="M1093" t="s">
        <v>90</v>
      </c>
      <c r="N1093" t="s">
        <v>91</v>
      </c>
      <c r="O1093" t="s">
        <v>295</v>
      </c>
      <c r="S1093" t="s">
        <v>108</v>
      </c>
      <c r="T1093" t="s">
        <v>94</v>
      </c>
      <c r="U1093" t="s">
        <v>248</v>
      </c>
    </row>
    <row r="1094" spans="1:21" x14ac:dyDescent="0.3">
      <c r="A1094" t="s">
        <v>2459</v>
      </c>
      <c r="B1094" s="6" t="str">
        <f>HYPERLINK("http://data.ntsb.gov/carol-repgen/api/Aviation/ReportMain/GenerateNewestReport/100533/pdf","AccidentReport")</f>
        <v>AccidentReport</v>
      </c>
      <c r="C1094" t="s">
        <v>2453</v>
      </c>
      <c r="D1094" t="s">
        <v>2460</v>
      </c>
      <c r="E1094" t="s">
        <v>176</v>
      </c>
      <c r="F1094" t="s">
        <v>88</v>
      </c>
      <c r="G1094">
        <v>47.243609999999997</v>
      </c>
      <c r="H1094">
        <v>-121.924446</v>
      </c>
      <c r="K1094" t="s">
        <v>89</v>
      </c>
      <c r="L1094">
        <v>1</v>
      </c>
      <c r="M1094" t="s">
        <v>90</v>
      </c>
      <c r="N1094" t="s">
        <v>893</v>
      </c>
      <c r="O1094" t="s">
        <v>92</v>
      </c>
      <c r="S1094" t="s">
        <v>108</v>
      </c>
      <c r="T1094" t="s">
        <v>411</v>
      </c>
      <c r="U1094" t="s">
        <v>95</v>
      </c>
    </row>
    <row r="1095" spans="1:21" x14ac:dyDescent="0.3">
      <c r="A1095" t="s">
        <v>2461</v>
      </c>
      <c r="B1095" s="6" t="str">
        <f>HYPERLINK("http://data.ntsb.gov/carol-repgen/api/Aviation/ReportMain/GenerateNewestReport/100606/pdf","AccidentReport")</f>
        <v>AccidentReport</v>
      </c>
      <c r="C1095" t="s">
        <v>2453</v>
      </c>
      <c r="D1095" t="s">
        <v>1892</v>
      </c>
      <c r="E1095" t="s">
        <v>98</v>
      </c>
      <c r="F1095" t="s">
        <v>88</v>
      </c>
      <c r="G1095">
        <v>29.080278</v>
      </c>
      <c r="H1095">
        <v>-81.046668999999994</v>
      </c>
      <c r="J1095">
        <v>2</v>
      </c>
      <c r="K1095" t="s">
        <v>99</v>
      </c>
      <c r="L1095">
        <v>1</v>
      </c>
      <c r="M1095" t="s">
        <v>147</v>
      </c>
      <c r="N1095" t="s">
        <v>91</v>
      </c>
      <c r="O1095" t="s">
        <v>92</v>
      </c>
      <c r="S1095" t="s">
        <v>108</v>
      </c>
      <c r="T1095" t="s">
        <v>109</v>
      </c>
      <c r="U1095" t="s">
        <v>95</v>
      </c>
    </row>
    <row r="1096" spans="1:21" x14ac:dyDescent="0.3">
      <c r="A1096" t="s">
        <v>2462</v>
      </c>
      <c r="B1096" s="6" t="str">
        <f>HYPERLINK("http://data.ntsb.gov/carol-repgen/api/Aviation/ReportMain/GenerateNewestReport/100514/pdf","AccidentReport")</f>
        <v>AccidentReport</v>
      </c>
      <c r="C1096" t="s">
        <v>2463</v>
      </c>
      <c r="D1096" t="s">
        <v>2464</v>
      </c>
      <c r="E1096" t="s">
        <v>228</v>
      </c>
      <c r="F1096" t="s">
        <v>88</v>
      </c>
      <c r="G1096">
        <v>31.238332</v>
      </c>
      <c r="H1096">
        <v>-92.437774000000005</v>
      </c>
      <c r="K1096" t="s">
        <v>89</v>
      </c>
      <c r="L1096">
        <v>1</v>
      </c>
      <c r="M1096" t="s">
        <v>90</v>
      </c>
      <c r="N1096" t="s">
        <v>100</v>
      </c>
      <c r="O1096" t="s">
        <v>92</v>
      </c>
      <c r="S1096" t="s">
        <v>108</v>
      </c>
      <c r="T1096" t="s">
        <v>109</v>
      </c>
      <c r="U1096" t="s">
        <v>95</v>
      </c>
    </row>
    <row r="1097" spans="1:21" x14ac:dyDescent="0.3">
      <c r="A1097" t="s">
        <v>2465</v>
      </c>
      <c r="B1097" s="6" t="str">
        <f>HYPERLINK("http://data.ntsb.gov/carol-repgen/api/Aviation/ReportMain/GenerateNewestReport/100530/pdf","AccidentReport")</f>
        <v>AccidentReport</v>
      </c>
      <c r="C1097" t="s">
        <v>2463</v>
      </c>
      <c r="D1097" t="s">
        <v>2466</v>
      </c>
      <c r="E1097" t="s">
        <v>356</v>
      </c>
      <c r="F1097" t="s">
        <v>88</v>
      </c>
      <c r="G1097">
        <v>33.466667000000001</v>
      </c>
      <c r="H1097">
        <v>-82.039443000000006</v>
      </c>
      <c r="K1097" t="s">
        <v>89</v>
      </c>
      <c r="L1097">
        <v>1</v>
      </c>
      <c r="M1097" t="s">
        <v>90</v>
      </c>
      <c r="N1097" t="s">
        <v>91</v>
      </c>
      <c r="O1097" t="s">
        <v>92</v>
      </c>
      <c r="S1097" t="s">
        <v>93</v>
      </c>
      <c r="T1097" t="s">
        <v>94</v>
      </c>
      <c r="U1097" t="s">
        <v>95</v>
      </c>
    </row>
    <row r="1098" spans="1:21" x14ac:dyDescent="0.3">
      <c r="A1098" t="s">
        <v>2467</v>
      </c>
      <c r="B1098" s="6" t="str">
        <f>HYPERLINK("http://data.ntsb.gov/carol-repgen/api/Aviation/ReportMain/GenerateNewestReport/100503/pdf","AccidentReport")</f>
        <v>AccidentReport</v>
      </c>
      <c r="C1098" t="s">
        <v>2468</v>
      </c>
      <c r="D1098" t="s">
        <v>2469</v>
      </c>
      <c r="E1098" t="s">
        <v>390</v>
      </c>
      <c r="F1098" t="s">
        <v>88</v>
      </c>
      <c r="G1098">
        <v>40.590158000000002</v>
      </c>
      <c r="H1098">
        <v>-74.310766999999998</v>
      </c>
      <c r="I1098">
        <v>1</v>
      </c>
      <c r="J1098">
        <v>0</v>
      </c>
      <c r="K1098" t="s">
        <v>107</v>
      </c>
      <c r="L1098">
        <v>1</v>
      </c>
      <c r="M1098" t="s">
        <v>147</v>
      </c>
      <c r="N1098" t="s">
        <v>91</v>
      </c>
      <c r="O1098" t="s">
        <v>92</v>
      </c>
      <c r="S1098" t="s">
        <v>108</v>
      </c>
      <c r="T1098" t="s">
        <v>102</v>
      </c>
      <c r="U1098" t="s">
        <v>119</v>
      </c>
    </row>
    <row r="1099" spans="1:21" x14ac:dyDescent="0.3">
      <c r="A1099" t="s">
        <v>2470</v>
      </c>
      <c r="B1099" s="6" t="str">
        <f>HYPERLINK("http://data.ntsb.gov/carol-repgen/api/Aviation/ReportMain/GenerateNewestReport/100589/pdf","AccidentReport")</f>
        <v>AccidentReport</v>
      </c>
      <c r="C1099" t="s">
        <v>2468</v>
      </c>
      <c r="D1099" t="s">
        <v>2400</v>
      </c>
      <c r="E1099" t="s">
        <v>128</v>
      </c>
      <c r="F1099" t="s">
        <v>88</v>
      </c>
      <c r="G1099">
        <v>35.145277999999998</v>
      </c>
      <c r="H1099">
        <v>-106.79528000000001</v>
      </c>
      <c r="K1099" t="s">
        <v>89</v>
      </c>
      <c r="L1099">
        <v>1</v>
      </c>
      <c r="M1099" t="s">
        <v>90</v>
      </c>
      <c r="N1099" t="s">
        <v>91</v>
      </c>
      <c r="O1099" t="s">
        <v>92</v>
      </c>
      <c r="S1099" t="s">
        <v>108</v>
      </c>
      <c r="T1099" t="s">
        <v>94</v>
      </c>
      <c r="U1099" t="s">
        <v>95</v>
      </c>
    </row>
    <row r="1100" spans="1:21" x14ac:dyDescent="0.3">
      <c r="A1100" t="s">
        <v>2471</v>
      </c>
      <c r="B1100" s="6" t="str">
        <f>HYPERLINK("http://data.ntsb.gov/carol-repgen/api/Aviation/ReportMain/GenerateNewestReport/100506/pdf","AccidentReport")</f>
        <v>AccidentReport</v>
      </c>
      <c r="C1100" t="s">
        <v>2472</v>
      </c>
      <c r="D1100" t="s">
        <v>355</v>
      </c>
      <c r="E1100" t="s">
        <v>356</v>
      </c>
      <c r="F1100" t="s">
        <v>88</v>
      </c>
      <c r="G1100">
        <v>33.856945000000003</v>
      </c>
      <c r="H1100">
        <v>-84.290557000000007</v>
      </c>
      <c r="I1100">
        <v>2</v>
      </c>
      <c r="J1100">
        <v>0</v>
      </c>
      <c r="K1100" t="s">
        <v>107</v>
      </c>
      <c r="L1100">
        <v>1</v>
      </c>
      <c r="M1100" t="s">
        <v>147</v>
      </c>
      <c r="N1100" t="s">
        <v>91</v>
      </c>
      <c r="O1100" t="s">
        <v>92</v>
      </c>
      <c r="S1100" t="s">
        <v>108</v>
      </c>
      <c r="T1100" t="s">
        <v>159</v>
      </c>
      <c r="U1100" t="s">
        <v>150</v>
      </c>
    </row>
    <row r="1101" spans="1:21" x14ac:dyDescent="0.3">
      <c r="A1101" t="s">
        <v>2473</v>
      </c>
      <c r="B1101" s="6" t="str">
        <f>HYPERLINK("http://data.ntsb.gov/carol-repgen/api/Aviation/ReportMain/GenerateNewestReport/100520/pdf","AccidentReport")</f>
        <v>AccidentReport</v>
      </c>
      <c r="C1101" t="s">
        <v>2474</v>
      </c>
      <c r="D1101" t="s">
        <v>2475</v>
      </c>
      <c r="E1101" t="s">
        <v>395</v>
      </c>
      <c r="F1101" t="s">
        <v>88</v>
      </c>
      <c r="G1101">
        <v>21.313054999999999</v>
      </c>
      <c r="H1101">
        <v>-157.92527699999999</v>
      </c>
      <c r="K1101" t="s">
        <v>89</v>
      </c>
      <c r="L1101">
        <v>2</v>
      </c>
      <c r="M1101" t="s">
        <v>90</v>
      </c>
      <c r="N1101" t="s">
        <v>91</v>
      </c>
      <c r="O1101" t="s">
        <v>92</v>
      </c>
      <c r="S1101" t="s">
        <v>108</v>
      </c>
      <c r="T1101" t="s">
        <v>220</v>
      </c>
      <c r="U1101" t="s">
        <v>221</v>
      </c>
    </row>
    <row r="1102" spans="1:21" x14ac:dyDescent="0.3">
      <c r="A1102" t="s">
        <v>2476</v>
      </c>
      <c r="B1102" s="6" t="str">
        <f>HYPERLINK("http://data.ntsb.gov/carol-repgen/api/Aviation/ReportMain/GenerateNewestReport/100509/pdf","AccidentReport")</f>
        <v>AccidentReport</v>
      </c>
      <c r="C1102" t="s">
        <v>2474</v>
      </c>
      <c r="D1102" t="s">
        <v>308</v>
      </c>
      <c r="E1102" t="s">
        <v>98</v>
      </c>
      <c r="F1102" t="s">
        <v>88</v>
      </c>
      <c r="G1102">
        <v>29.141666000000001</v>
      </c>
      <c r="H1102">
        <v>-82.194168000000005</v>
      </c>
      <c r="I1102">
        <v>2</v>
      </c>
      <c r="J1102">
        <v>1</v>
      </c>
      <c r="K1102" t="s">
        <v>107</v>
      </c>
      <c r="L1102">
        <v>1</v>
      </c>
      <c r="M1102" t="s">
        <v>147</v>
      </c>
      <c r="N1102" t="s">
        <v>91</v>
      </c>
      <c r="O1102" t="s">
        <v>92</v>
      </c>
      <c r="S1102" t="s">
        <v>418</v>
      </c>
      <c r="T1102" t="s">
        <v>181</v>
      </c>
      <c r="U1102" t="s">
        <v>150</v>
      </c>
    </row>
    <row r="1103" spans="1:21" x14ac:dyDescent="0.3">
      <c r="A1103" t="s">
        <v>2477</v>
      </c>
      <c r="B1103" s="6" t="str">
        <f>HYPERLINK("http://data.ntsb.gov/carol-repgen/api/Aviation/ReportMain/GenerateNewestReport/100515/pdf","AccidentReport")</f>
        <v>AccidentReport</v>
      </c>
      <c r="C1103" t="s">
        <v>2474</v>
      </c>
      <c r="D1103" t="s">
        <v>2478</v>
      </c>
      <c r="E1103" t="s">
        <v>98</v>
      </c>
      <c r="F1103" t="s">
        <v>88</v>
      </c>
      <c r="G1103">
        <v>30.012499999999999</v>
      </c>
      <c r="H1103">
        <v>-81.779998000000006</v>
      </c>
      <c r="I1103">
        <v>1</v>
      </c>
      <c r="J1103">
        <v>0</v>
      </c>
      <c r="K1103" t="s">
        <v>107</v>
      </c>
      <c r="L1103">
        <v>1</v>
      </c>
      <c r="M1103" t="s">
        <v>147</v>
      </c>
      <c r="N1103" t="s">
        <v>91</v>
      </c>
      <c r="O1103" t="s">
        <v>92</v>
      </c>
      <c r="S1103" t="s">
        <v>108</v>
      </c>
      <c r="T1103" t="s">
        <v>442</v>
      </c>
      <c r="U1103" t="s">
        <v>186</v>
      </c>
    </row>
    <row r="1104" spans="1:21" x14ac:dyDescent="0.3">
      <c r="A1104" t="s">
        <v>2479</v>
      </c>
      <c r="B1104" s="6" t="str">
        <f>HYPERLINK("http://data.ntsb.gov/carol-repgen/api/Aviation/ReportMain/GenerateNewestReport/100516/pdf","AccidentReport")</f>
        <v>AccidentReport</v>
      </c>
      <c r="C1104" t="s">
        <v>2474</v>
      </c>
      <c r="D1104" t="s">
        <v>1179</v>
      </c>
      <c r="E1104" t="s">
        <v>260</v>
      </c>
      <c r="F1104" t="s">
        <v>88</v>
      </c>
      <c r="G1104">
        <v>37.103332000000002</v>
      </c>
      <c r="H1104">
        <v>-88.817222000000001</v>
      </c>
      <c r="I1104">
        <v>1</v>
      </c>
      <c r="K1104" t="s">
        <v>107</v>
      </c>
      <c r="L1104">
        <v>1</v>
      </c>
      <c r="M1104" t="s">
        <v>147</v>
      </c>
      <c r="N1104" t="s">
        <v>91</v>
      </c>
      <c r="O1104" t="s">
        <v>92</v>
      </c>
      <c r="S1104" t="s">
        <v>108</v>
      </c>
      <c r="T1104" t="s">
        <v>118</v>
      </c>
      <c r="U1104" t="s">
        <v>119</v>
      </c>
    </row>
    <row r="1105" spans="1:21" x14ac:dyDescent="0.3">
      <c r="A1105" t="s">
        <v>2480</v>
      </c>
      <c r="B1105" s="6" t="str">
        <f>HYPERLINK("http://data.ntsb.gov/carol-repgen/api/Aviation/ReportMain/GenerateNewestReport/100529/pdf","AccidentReport")</f>
        <v>AccidentReport</v>
      </c>
      <c r="C1105" t="s">
        <v>2474</v>
      </c>
      <c r="D1105" t="s">
        <v>2382</v>
      </c>
      <c r="E1105" t="s">
        <v>154</v>
      </c>
      <c r="F1105" t="s">
        <v>88</v>
      </c>
      <c r="G1105">
        <v>29.774999000000001</v>
      </c>
      <c r="H1105">
        <v>-97.977774999999994</v>
      </c>
      <c r="J1105">
        <v>1</v>
      </c>
      <c r="K1105" t="s">
        <v>99</v>
      </c>
      <c r="L1105">
        <v>1</v>
      </c>
      <c r="M1105" t="s">
        <v>155</v>
      </c>
      <c r="N1105" t="s">
        <v>91</v>
      </c>
      <c r="O1105" t="s">
        <v>92</v>
      </c>
      <c r="S1105" t="s">
        <v>173</v>
      </c>
      <c r="T1105" t="s">
        <v>542</v>
      </c>
      <c r="U1105" t="s">
        <v>186</v>
      </c>
    </row>
    <row r="1106" spans="1:21" x14ac:dyDescent="0.3">
      <c r="A1106" t="s">
        <v>2481</v>
      </c>
      <c r="B1106" s="6" t="str">
        <f>HYPERLINK("http://data.ntsb.gov/carol-repgen/api/Aviation/ReportMain/GenerateNewestReport/100513/pdf","AccidentReport")</f>
        <v>AccidentReport</v>
      </c>
      <c r="C1106" t="s">
        <v>2474</v>
      </c>
      <c r="D1106" t="s">
        <v>2482</v>
      </c>
      <c r="E1106" t="s">
        <v>106</v>
      </c>
      <c r="F1106" t="s">
        <v>88</v>
      </c>
      <c r="G1106">
        <v>32.988056</v>
      </c>
      <c r="H1106">
        <v>-115.46916899999999</v>
      </c>
      <c r="I1106">
        <v>2</v>
      </c>
      <c r="K1106" t="s">
        <v>107</v>
      </c>
      <c r="L1106">
        <v>1</v>
      </c>
      <c r="M1106" t="s">
        <v>90</v>
      </c>
      <c r="N1106" t="s">
        <v>91</v>
      </c>
      <c r="O1106" t="s">
        <v>92</v>
      </c>
      <c r="S1106" t="s">
        <v>108</v>
      </c>
      <c r="T1106" t="s">
        <v>381</v>
      </c>
      <c r="U1106" t="s">
        <v>381</v>
      </c>
    </row>
    <row r="1107" spans="1:21" x14ac:dyDescent="0.3">
      <c r="A1107" t="s">
        <v>2483</v>
      </c>
      <c r="B1107" s="6" t="str">
        <f>HYPERLINK("http://data.ntsb.gov/carol-repgen/api/Aviation/ReportMain/GenerateNewestReport/100519/pdf","AccidentReport")</f>
        <v>AccidentReport</v>
      </c>
      <c r="C1107" t="s">
        <v>2484</v>
      </c>
      <c r="D1107" t="s">
        <v>2485</v>
      </c>
      <c r="E1107" t="s">
        <v>138</v>
      </c>
      <c r="F1107" t="s">
        <v>88</v>
      </c>
      <c r="G1107">
        <v>42.234442999999999</v>
      </c>
      <c r="H1107">
        <v>-85.551665999999997</v>
      </c>
      <c r="J1107">
        <v>1</v>
      </c>
      <c r="K1107" t="s">
        <v>99</v>
      </c>
      <c r="L1107">
        <v>1</v>
      </c>
      <c r="M1107" t="s">
        <v>90</v>
      </c>
      <c r="N1107" t="s">
        <v>91</v>
      </c>
      <c r="O1107" t="s">
        <v>92</v>
      </c>
      <c r="S1107" t="s">
        <v>108</v>
      </c>
      <c r="T1107" t="s">
        <v>159</v>
      </c>
      <c r="U1107" t="s">
        <v>150</v>
      </c>
    </row>
    <row r="1108" spans="1:21" x14ac:dyDescent="0.3">
      <c r="A1108" t="s">
        <v>2486</v>
      </c>
      <c r="B1108" s="6" t="str">
        <f>HYPERLINK("http://data.ntsb.gov/carol-repgen/api/Aviation/ReportMain/GenerateNewestReport/100517/pdf","AccidentReport")</f>
        <v>AccidentReport</v>
      </c>
      <c r="C1108" t="s">
        <v>2484</v>
      </c>
      <c r="D1108" t="s">
        <v>2487</v>
      </c>
      <c r="E1108" t="s">
        <v>98</v>
      </c>
      <c r="F1108" t="s">
        <v>88</v>
      </c>
      <c r="G1108">
        <v>27.176110999999999</v>
      </c>
      <c r="H1108">
        <v>-80.212501000000003</v>
      </c>
      <c r="I1108">
        <v>1</v>
      </c>
      <c r="K1108" t="s">
        <v>107</v>
      </c>
      <c r="L1108">
        <v>1</v>
      </c>
      <c r="M1108" t="s">
        <v>147</v>
      </c>
      <c r="N1108" t="s">
        <v>91</v>
      </c>
      <c r="O1108" t="s">
        <v>92</v>
      </c>
      <c r="S1108" t="s">
        <v>2124</v>
      </c>
      <c r="T1108" t="s">
        <v>229</v>
      </c>
      <c r="U1108" t="s">
        <v>103</v>
      </c>
    </row>
    <row r="1109" spans="1:21" x14ac:dyDescent="0.3">
      <c r="A1109" t="s">
        <v>2488</v>
      </c>
      <c r="B1109" s="6" t="str">
        <f>HYPERLINK("http://data.ntsb.gov/carol-repgen/api/Aviation/ReportMain/GenerateNewestReport/100518/pdf","AccidentReport")</f>
        <v>AccidentReport</v>
      </c>
      <c r="C1109" t="s">
        <v>2484</v>
      </c>
      <c r="D1109" t="s">
        <v>2489</v>
      </c>
      <c r="E1109" t="s">
        <v>154</v>
      </c>
      <c r="F1109" t="s">
        <v>88</v>
      </c>
      <c r="G1109">
        <v>32.026111</v>
      </c>
      <c r="H1109">
        <v>-102.404724</v>
      </c>
      <c r="J1109">
        <v>1</v>
      </c>
      <c r="K1109" t="s">
        <v>99</v>
      </c>
      <c r="L1109">
        <v>1</v>
      </c>
      <c r="M1109" t="s">
        <v>90</v>
      </c>
      <c r="N1109" t="s">
        <v>91</v>
      </c>
      <c r="O1109" t="s">
        <v>92</v>
      </c>
      <c r="S1109" t="s">
        <v>108</v>
      </c>
      <c r="T1109" t="s">
        <v>159</v>
      </c>
      <c r="U1109" t="s">
        <v>186</v>
      </c>
    </row>
    <row r="1110" spans="1:21" x14ac:dyDescent="0.3">
      <c r="A1110" t="s">
        <v>2490</v>
      </c>
      <c r="B1110" s="6" t="str">
        <f>HYPERLINK("http://data.ntsb.gov/carol-repgen/api/Aviation/ReportMain/GenerateNewestReport/100528/pdf","AccidentReport")</f>
        <v>AccidentReport</v>
      </c>
      <c r="C1110" t="s">
        <v>2484</v>
      </c>
      <c r="D1110" t="s">
        <v>179</v>
      </c>
      <c r="E1110" t="s">
        <v>251</v>
      </c>
      <c r="F1110" t="s">
        <v>88</v>
      </c>
      <c r="G1110">
        <v>44.909441999999999</v>
      </c>
      <c r="H1110">
        <v>-123.00250200000001</v>
      </c>
      <c r="K1110" t="s">
        <v>89</v>
      </c>
      <c r="L1110">
        <v>1</v>
      </c>
      <c r="M1110" t="s">
        <v>90</v>
      </c>
      <c r="N1110" t="s">
        <v>91</v>
      </c>
      <c r="O1110" t="s">
        <v>92</v>
      </c>
      <c r="S1110" t="s">
        <v>418</v>
      </c>
      <c r="T1110" t="s">
        <v>102</v>
      </c>
      <c r="U1110" t="s">
        <v>248</v>
      </c>
    </row>
    <row r="1111" spans="1:21" x14ac:dyDescent="0.3">
      <c r="A1111" t="s">
        <v>2491</v>
      </c>
      <c r="B1111" s="6" t="str">
        <f>HYPERLINK("http://data.ntsb.gov/carol-repgen/api/Aviation/ReportMain/GenerateNewestReport/100532/pdf","AccidentReport")</f>
        <v>AccidentReport</v>
      </c>
      <c r="C1111" t="s">
        <v>2492</v>
      </c>
      <c r="D1111" t="s">
        <v>2493</v>
      </c>
      <c r="E1111" t="s">
        <v>117</v>
      </c>
      <c r="F1111" t="s">
        <v>88</v>
      </c>
      <c r="G1111">
        <v>40.286665999999997</v>
      </c>
      <c r="H1111">
        <v>-76.576942000000003</v>
      </c>
      <c r="K1111" t="s">
        <v>89</v>
      </c>
      <c r="L1111">
        <v>1</v>
      </c>
      <c r="M1111" t="s">
        <v>90</v>
      </c>
      <c r="N1111" t="s">
        <v>91</v>
      </c>
      <c r="O1111" t="s">
        <v>92</v>
      </c>
      <c r="S1111" t="s">
        <v>108</v>
      </c>
      <c r="T1111" t="s">
        <v>102</v>
      </c>
      <c r="U1111" t="s">
        <v>119</v>
      </c>
    </row>
    <row r="1112" spans="1:21" x14ac:dyDescent="0.3">
      <c r="A1112" t="s">
        <v>2494</v>
      </c>
      <c r="B1112" s="6" t="str">
        <f>HYPERLINK("http://data.ntsb.gov/carol-repgen/api/Aviation/ReportMain/GenerateNewestReport/100551/pdf","AccidentReport")</f>
        <v>AccidentReport</v>
      </c>
      <c r="C1112" t="s">
        <v>2492</v>
      </c>
      <c r="D1112" t="s">
        <v>2495</v>
      </c>
      <c r="E1112" t="s">
        <v>402</v>
      </c>
      <c r="F1112" t="s">
        <v>88</v>
      </c>
      <c r="G1112">
        <v>33.884166</v>
      </c>
      <c r="H1112">
        <v>-81.381668000000005</v>
      </c>
      <c r="K1112" t="s">
        <v>89</v>
      </c>
      <c r="L1112">
        <v>1</v>
      </c>
      <c r="M1112" t="s">
        <v>90</v>
      </c>
      <c r="N1112" t="s">
        <v>91</v>
      </c>
      <c r="O1112" t="s">
        <v>92</v>
      </c>
      <c r="S1112" t="s">
        <v>108</v>
      </c>
      <c r="T1112" t="s">
        <v>113</v>
      </c>
      <c r="U1112" t="s">
        <v>103</v>
      </c>
    </row>
    <row r="1113" spans="1:21" x14ac:dyDescent="0.3">
      <c r="A1113" t="s">
        <v>2496</v>
      </c>
      <c r="B1113" s="6" t="str">
        <f>HYPERLINK("http://data.ntsb.gov/carol-repgen/api/Aviation/ReportMain/GenerateNewestReport/100553/pdf","AccidentReport")</f>
        <v>AccidentReport</v>
      </c>
      <c r="C1113" t="s">
        <v>2492</v>
      </c>
      <c r="D1113" t="s">
        <v>2497</v>
      </c>
      <c r="E1113" t="s">
        <v>709</v>
      </c>
      <c r="F1113" t="s">
        <v>88</v>
      </c>
      <c r="G1113">
        <v>41.383609</v>
      </c>
      <c r="H1113">
        <v>-72.505836000000002</v>
      </c>
      <c r="K1113" t="s">
        <v>89</v>
      </c>
      <c r="L1113">
        <v>1</v>
      </c>
      <c r="M1113" t="s">
        <v>90</v>
      </c>
      <c r="N1113" t="s">
        <v>91</v>
      </c>
      <c r="O1113" t="s">
        <v>92</v>
      </c>
      <c r="S1113" t="s">
        <v>108</v>
      </c>
      <c r="T1113" t="s">
        <v>109</v>
      </c>
      <c r="U1113" t="s">
        <v>95</v>
      </c>
    </row>
    <row r="1114" spans="1:21" x14ac:dyDescent="0.3">
      <c r="A1114" t="s">
        <v>2498</v>
      </c>
      <c r="B1114" s="6" t="str">
        <f>HYPERLINK("http://data.ntsb.gov/carol-repgen/api/Aviation/ReportMain/GenerateNewestReport/100524/pdf","AccidentReport")</f>
        <v>AccidentReport</v>
      </c>
      <c r="C1114" t="s">
        <v>2499</v>
      </c>
      <c r="D1114" t="s">
        <v>2500</v>
      </c>
      <c r="E1114" t="s">
        <v>98</v>
      </c>
      <c r="F1114" t="s">
        <v>88</v>
      </c>
      <c r="G1114">
        <v>25.796942999999999</v>
      </c>
      <c r="H1114">
        <v>-80.34111</v>
      </c>
      <c r="K1114" t="s">
        <v>89</v>
      </c>
      <c r="L1114">
        <v>1</v>
      </c>
      <c r="M1114" t="s">
        <v>90</v>
      </c>
      <c r="N1114" t="s">
        <v>91</v>
      </c>
      <c r="O1114" t="s">
        <v>92</v>
      </c>
      <c r="S1114" t="s">
        <v>108</v>
      </c>
      <c r="T1114" t="s">
        <v>118</v>
      </c>
      <c r="U1114" t="s">
        <v>186</v>
      </c>
    </row>
    <row r="1115" spans="1:21" x14ac:dyDescent="0.3">
      <c r="A1115" t="s">
        <v>2501</v>
      </c>
      <c r="B1115" s="6" t="str">
        <f>HYPERLINK("http://data.ntsb.gov/carol-repgen/api/Aviation/ReportMain/GenerateNewestReport/100535/pdf","AccidentReport")</f>
        <v>AccidentReport</v>
      </c>
      <c r="C1115" t="s">
        <v>2499</v>
      </c>
      <c r="D1115" t="s">
        <v>1450</v>
      </c>
      <c r="E1115" t="s">
        <v>402</v>
      </c>
      <c r="F1115" t="s">
        <v>88</v>
      </c>
      <c r="G1115">
        <v>35.034168000000001</v>
      </c>
      <c r="H1115">
        <v>-82.298889000000003</v>
      </c>
      <c r="K1115" t="s">
        <v>89</v>
      </c>
      <c r="L1115">
        <v>1</v>
      </c>
      <c r="M1115" t="s">
        <v>90</v>
      </c>
      <c r="N1115" t="s">
        <v>91</v>
      </c>
      <c r="O1115" t="s">
        <v>92</v>
      </c>
      <c r="S1115" t="s">
        <v>108</v>
      </c>
      <c r="T1115" t="s">
        <v>94</v>
      </c>
      <c r="U1115" t="s">
        <v>95</v>
      </c>
    </row>
    <row r="1116" spans="1:21" x14ac:dyDescent="0.3">
      <c r="A1116" t="s">
        <v>2502</v>
      </c>
      <c r="B1116" s="6" t="str">
        <f>HYPERLINK("http://data.ntsb.gov/carol-repgen/api/Aviation/ReportMain/GenerateNewestReport/100521/pdf","AccidentReport")</f>
        <v>AccidentReport</v>
      </c>
      <c r="C1116" t="s">
        <v>2503</v>
      </c>
      <c r="D1116" t="s">
        <v>2329</v>
      </c>
      <c r="E1116" t="s">
        <v>356</v>
      </c>
      <c r="F1116" t="s">
        <v>88</v>
      </c>
      <c r="G1116">
        <v>34.043888000000003</v>
      </c>
      <c r="H1116">
        <v>-85.177222999999998</v>
      </c>
      <c r="I1116">
        <v>1</v>
      </c>
      <c r="K1116" t="s">
        <v>107</v>
      </c>
      <c r="L1116">
        <v>1</v>
      </c>
      <c r="M1116" t="s">
        <v>90</v>
      </c>
      <c r="N1116" t="s">
        <v>862</v>
      </c>
      <c r="O1116" t="s">
        <v>92</v>
      </c>
      <c r="S1116" t="s">
        <v>418</v>
      </c>
      <c r="T1116" t="s">
        <v>102</v>
      </c>
      <c r="U1116" t="s">
        <v>103</v>
      </c>
    </row>
    <row r="1117" spans="1:21" x14ac:dyDescent="0.3">
      <c r="A1117" t="s">
        <v>2504</v>
      </c>
      <c r="B1117" s="6" t="str">
        <f>HYPERLINK("http://data.ntsb.gov/carol-repgen/api/Aviation/ReportMain/GenerateNewestReport/100526/pdf","AccidentReport")</f>
        <v>AccidentReport</v>
      </c>
      <c r="C1117" t="s">
        <v>2503</v>
      </c>
      <c r="D1117" t="s">
        <v>2505</v>
      </c>
      <c r="E1117" t="s">
        <v>408</v>
      </c>
      <c r="F1117" t="s">
        <v>88</v>
      </c>
      <c r="G1117">
        <v>41.621111999999997</v>
      </c>
      <c r="H1117">
        <v>-70.938331000000005</v>
      </c>
      <c r="I1117">
        <v>1</v>
      </c>
      <c r="J1117">
        <v>0</v>
      </c>
      <c r="K1117" t="s">
        <v>107</v>
      </c>
      <c r="L1117">
        <v>1</v>
      </c>
      <c r="M1117" t="s">
        <v>147</v>
      </c>
      <c r="N1117" t="s">
        <v>91</v>
      </c>
      <c r="O1117" t="s">
        <v>92</v>
      </c>
      <c r="S1117" t="s">
        <v>108</v>
      </c>
      <c r="T1117" t="s">
        <v>181</v>
      </c>
      <c r="U1117" t="s">
        <v>186</v>
      </c>
    </row>
    <row r="1118" spans="1:21" x14ac:dyDescent="0.3">
      <c r="A1118" t="s">
        <v>2506</v>
      </c>
      <c r="B1118" s="6" t="str">
        <f>HYPERLINK("http://data.ntsb.gov/carol-repgen/api/Aviation/ReportMain/GenerateNewestReport/100536/pdf","AccidentReport")</f>
        <v>AccidentReport</v>
      </c>
      <c r="C1118" t="s">
        <v>2503</v>
      </c>
      <c r="D1118" t="s">
        <v>2507</v>
      </c>
      <c r="E1118" t="s">
        <v>117</v>
      </c>
      <c r="F1118" t="s">
        <v>88</v>
      </c>
      <c r="G1118">
        <v>40.041666999999997</v>
      </c>
      <c r="H1118">
        <v>-76.201942000000003</v>
      </c>
      <c r="K1118" t="s">
        <v>89</v>
      </c>
      <c r="L1118">
        <v>1</v>
      </c>
      <c r="M1118" t="s">
        <v>90</v>
      </c>
      <c r="N1118" t="s">
        <v>100</v>
      </c>
      <c r="O1118" t="s">
        <v>92</v>
      </c>
      <c r="S1118" t="s">
        <v>93</v>
      </c>
      <c r="T1118" t="s">
        <v>94</v>
      </c>
      <c r="U1118" t="s">
        <v>103</v>
      </c>
    </row>
    <row r="1119" spans="1:21" x14ac:dyDescent="0.3">
      <c r="A1119" t="s">
        <v>2508</v>
      </c>
      <c r="B1119" s="6" t="str">
        <f>HYPERLINK("http://data.ntsb.gov/carol-repgen/api/Aviation/ReportMain/GenerateNewestReport/100626/pdf","AccidentReport")</f>
        <v>AccidentReport</v>
      </c>
      <c r="C1119" t="s">
        <v>2503</v>
      </c>
      <c r="D1119" t="s">
        <v>1614</v>
      </c>
      <c r="E1119" t="s">
        <v>192</v>
      </c>
      <c r="F1119" t="s">
        <v>88</v>
      </c>
      <c r="G1119">
        <v>37.140276999999998</v>
      </c>
      <c r="H1119">
        <v>-113.30611399999999</v>
      </c>
      <c r="K1119" t="s">
        <v>89</v>
      </c>
      <c r="L1119">
        <v>1</v>
      </c>
      <c r="M1119" t="s">
        <v>90</v>
      </c>
      <c r="N1119" t="s">
        <v>91</v>
      </c>
      <c r="O1119" t="s">
        <v>92</v>
      </c>
      <c r="S1119" t="s">
        <v>108</v>
      </c>
      <c r="T1119" t="s">
        <v>109</v>
      </c>
      <c r="U1119" t="s">
        <v>95</v>
      </c>
    </row>
    <row r="1120" spans="1:21" x14ac:dyDescent="0.3">
      <c r="A1120" t="s">
        <v>2509</v>
      </c>
      <c r="B1120" s="6" t="str">
        <f>HYPERLINK("http://data.ntsb.gov/carol-repgen/api/Aviation/ReportMain/GenerateNewestReport/100560/pdf","AccidentReport")</f>
        <v>AccidentReport</v>
      </c>
      <c r="C1120" t="s">
        <v>2510</v>
      </c>
      <c r="D1120" t="s">
        <v>2511</v>
      </c>
      <c r="E1120" t="s">
        <v>142</v>
      </c>
      <c r="F1120" t="s">
        <v>88</v>
      </c>
      <c r="G1120">
        <v>39.476664999999997</v>
      </c>
      <c r="H1120">
        <v>-84.093886999999995</v>
      </c>
      <c r="K1120" t="s">
        <v>155</v>
      </c>
      <c r="L1120">
        <v>1</v>
      </c>
      <c r="M1120" t="s">
        <v>90</v>
      </c>
      <c r="N1120" t="s">
        <v>893</v>
      </c>
      <c r="O1120" t="s">
        <v>92</v>
      </c>
      <c r="S1120" t="s">
        <v>108</v>
      </c>
      <c r="T1120" t="s">
        <v>411</v>
      </c>
      <c r="U1120" t="s">
        <v>95</v>
      </c>
    </row>
    <row r="1121" spans="1:21" x14ac:dyDescent="0.3">
      <c r="A1121" t="s">
        <v>2512</v>
      </c>
      <c r="B1121" s="6" t="str">
        <f>HYPERLINK("http://data.ntsb.gov/carol-repgen/api/Aviation/ReportMain/GenerateNewestReport/100565/pdf","AccidentReport")</f>
        <v>AccidentReport</v>
      </c>
      <c r="C1121" t="s">
        <v>2510</v>
      </c>
      <c r="D1121" t="s">
        <v>2513</v>
      </c>
      <c r="E1121" t="s">
        <v>131</v>
      </c>
      <c r="F1121" t="s">
        <v>88</v>
      </c>
      <c r="G1121">
        <v>39.908889000000002</v>
      </c>
      <c r="H1121">
        <v>-105.117225</v>
      </c>
      <c r="K1121" t="s">
        <v>89</v>
      </c>
      <c r="L1121">
        <v>1</v>
      </c>
      <c r="M1121" t="s">
        <v>90</v>
      </c>
      <c r="N1121" t="s">
        <v>91</v>
      </c>
      <c r="O1121" t="s">
        <v>92</v>
      </c>
      <c r="S1121" t="s">
        <v>108</v>
      </c>
      <c r="T1121" t="s">
        <v>102</v>
      </c>
      <c r="U1121" t="s">
        <v>95</v>
      </c>
    </row>
    <row r="1122" spans="1:21" x14ac:dyDescent="0.3">
      <c r="A1122" t="s">
        <v>2514</v>
      </c>
      <c r="B1122" s="6" t="str">
        <f>HYPERLINK("http://data.ntsb.gov/carol-repgen/api/Aviation/ReportMain/GenerateNewestReport/100543/pdf","AccidentReport")</f>
        <v>AccidentReport</v>
      </c>
      <c r="C1122" t="s">
        <v>2515</v>
      </c>
      <c r="D1122" t="s">
        <v>2516</v>
      </c>
      <c r="E1122" t="s">
        <v>98</v>
      </c>
      <c r="F1122" t="s">
        <v>88</v>
      </c>
      <c r="G1122">
        <v>28.405833999999999</v>
      </c>
      <c r="H1122">
        <v>-81.837776000000005</v>
      </c>
      <c r="K1122" t="s">
        <v>89</v>
      </c>
      <c r="L1122">
        <v>1</v>
      </c>
      <c r="M1122" t="s">
        <v>90</v>
      </c>
      <c r="N1122" t="s">
        <v>100</v>
      </c>
      <c r="O1122" t="s">
        <v>92</v>
      </c>
      <c r="S1122" t="s">
        <v>108</v>
      </c>
      <c r="T1122" t="s">
        <v>109</v>
      </c>
      <c r="U1122" t="s">
        <v>95</v>
      </c>
    </row>
    <row r="1123" spans="1:21" x14ac:dyDescent="0.3">
      <c r="A1123" t="s">
        <v>2517</v>
      </c>
      <c r="B1123" s="6" t="str">
        <f>HYPERLINK("http://data.ntsb.gov/carol-repgen/api/Aviation/ReportMain/GenerateNewestReport/100538/pdf","AccidentReport")</f>
        <v>AccidentReport</v>
      </c>
      <c r="C1123" t="s">
        <v>2515</v>
      </c>
      <c r="D1123" t="s">
        <v>880</v>
      </c>
      <c r="E1123" t="s">
        <v>106</v>
      </c>
      <c r="F1123" t="s">
        <v>88</v>
      </c>
      <c r="G1123">
        <v>34.109721999999998</v>
      </c>
      <c r="H1123">
        <v>-117.669723</v>
      </c>
      <c r="I1123">
        <v>1</v>
      </c>
      <c r="K1123" t="s">
        <v>107</v>
      </c>
      <c r="L1123">
        <v>1</v>
      </c>
      <c r="M1123" t="s">
        <v>147</v>
      </c>
      <c r="N1123" t="s">
        <v>91</v>
      </c>
      <c r="O1123" t="s">
        <v>92</v>
      </c>
      <c r="S1123" t="s">
        <v>108</v>
      </c>
      <c r="T1123" t="s">
        <v>102</v>
      </c>
      <c r="U1123" t="s">
        <v>119</v>
      </c>
    </row>
    <row r="1124" spans="1:21" x14ac:dyDescent="0.3">
      <c r="A1124" t="s">
        <v>2518</v>
      </c>
      <c r="B1124" s="6" t="str">
        <f>HYPERLINK("http://data.ntsb.gov/carol-repgen/api/Aviation/ReportMain/GenerateNewestReport/100554/pdf","AccidentReport")</f>
        <v>AccidentReport</v>
      </c>
      <c r="C1124" t="s">
        <v>2519</v>
      </c>
      <c r="D1124" t="s">
        <v>2520</v>
      </c>
      <c r="E1124" t="s">
        <v>154</v>
      </c>
      <c r="F1124" t="s">
        <v>88</v>
      </c>
      <c r="G1124">
        <v>32.353610000000003</v>
      </c>
      <c r="H1124">
        <v>-95.403053</v>
      </c>
      <c r="K1124" t="s">
        <v>89</v>
      </c>
      <c r="L1124">
        <v>1</v>
      </c>
      <c r="M1124" t="s">
        <v>90</v>
      </c>
      <c r="N1124" t="s">
        <v>91</v>
      </c>
      <c r="O1124" t="s">
        <v>92</v>
      </c>
      <c r="S1124" t="s">
        <v>108</v>
      </c>
      <c r="T1124" t="s">
        <v>94</v>
      </c>
      <c r="U1124" t="s">
        <v>248</v>
      </c>
    </row>
    <row r="1125" spans="1:21" x14ac:dyDescent="0.3">
      <c r="A1125" t="s">
        <v>2521</v>
      </c>
      <c r="B1125" s="6" t="str">
        <f>HYPERLINK("http://data.ntsb.gov/carol-repgen/api/Aviation/ReportMain/GenerateNewestReport/100596/pdf","AccidentReport")</f>
        <v>AccidentReport</v>
      </c>
      <c r="C1125" t="s">
        <v>2519</v>
      </c>
      <c r="D1125" t="s">
        <v>191</v>
      </c>
      <c r="E1125" t="s">
        <v>192</v>
      </c>
      <c r="F1125" t="s">
        <v>88</v>
      </c>
      <c r="G1125">
        <v>40.79</v>
      </c>
      <c r="H1125">
        <v>-111.980003</v>
      </c>
      <c r="K1125" t="s">
        <v>89</v>
      </c>
      <c r="L1125">
        <v>1</v>
      </c>
      <c r="M1125" t="s">
        <v>90</v>
      </c>
      <c r="N1125" t="s">
        <v>91</v>
      </c>
      <c r="O1125" t="s">
        <v>92</v>
      </c>
      <c r="S1125" t="s">
        <v>173</v>
      </c>
      <c r="T1125" t="s">
        <v>411</v>
      </c>
      <c r="U1125" t="s">
        <v>95</v>
      </c>
    </row>
    <row r="1126" spans="1:21" x14ac:dyDescent="0.3">
      <c r="A1126" t="s">
        <v>2522</v>
      </c>
      <c r="B1126" s="6" t="str">
        <f>HYPERLINK("http://data.ntsb.gov/carol-repgen/api/Aviation/ReportMain/GenerateNewestReport/100544/pdf","AccidentReport")</f>
        <v>AccidentReport</v>
      </c>
      <c r="C1126" t="s">
        <v>2523</v>
      </c>
      <c r="D1126" t="s">
        <v>1496</v>
      </c>
      <c r="E1126" t="s">
        <v>154</v>
      </c>
      <c r="F1126" t="s">
        <v>88</v>
      </c>
      <c r="G1126">
        <v>30.079999000000001</v>
      </c>
      <c r="H1126">
        <v>-95.559996999999996</v>
      </c>
      <c r="K1126" t="s">
        <v>155</v>
      </c>
      <c r="L1126">
        <v>1</v>
      </c>
      <c r="M1126" t="s">
        <v>90</v>
      </c>
      <c r="N1126" t="s">
        <v>91</v>
      </c>
      <c r="O1126" t="s">
        <v>92</v>
      </c>
      <c r="S1126" t="s">
        <v>108</v>
      </c>
      <c r="T1126" t="s">
        <v>118</v>
      </c>
      <c r="U1126" t="s">
        <v>150</v>
      </c>
    </row>
    <row r="1127" spans="1:21" x14ac:dyDescent="0.3">
      <c r="A1127" t="s">
        <v>2524</v>
      </c>
      <c r="B1127" s="6" t="str">
        <f>HYPERLINK("http://data.ntsb.gov/carol-repgen/api/Aviation/ReportMain/GenerateNewestReport/100562/pdf","AccidentReport")</f>
        <v>AccidentReport</v>
      </c>
      <c r="C1127" t="s">
        <v>2523</v>
      </c>
      <c r="D1127" t="s">
        <v>2525</v>
      </c>
      <c r="E1127" t="s">
        <v>356</v>
      </c>
      <c r="F1127" t="s">
        <v>88</v>
      </c>
      <c r="G1127">
        <v>33.226942999999999</v>
      </c>
      <c r="H1127">
        <v>-84.275001000000003</v>
      </c>
      <c r="K1127" t="s">
        <v>89</v>
      </c>
      <c r="L1127">
        <v>1</v>
      </c>
      <c r="M1127" t="s">
        <v>90</v>
      </c>
      <c r="N1127" t="s">
        <v>91</v>
      </c>
      <c r="O1127" t="s">
        <v>92</v>
      </c>
      <c r="S1127" t="s">
        <v>108</v>
      </c>
      <c r="T1127" t="s">
        <v>109</v>
      </c>
      <c r="U1127" t="s">
        <v>248</v>
      </c>
    </row>
    <row r="1128" spans="1:21" x14ac:dyDescent="0.3">
      <c r="A1128" t="s">
        <v>2526</v>
      </c>
      <c r="B1128" s="6" t="str">
        <f>HYPERLINK("http://data.ntsb.gov/carol-repgen/api/Aviation/ReportMain/GenerateNewestReport/100550/pdf","AccidentReport")</f>
        <v>AccidentReport</v>
      </c>
      <c r="C1128" t="s">
        <v>2523</v>
      </c>
      <c r="D1128" t="s">
        <v>1286</v>
      </c>
      <c r="E1128" t="s">
        <v>613</v>
      </c>
      <c r="F1128" t="s">
        <v>88</v>
      </c>
      <c r="G1128">
        <v>36.078055999999997</v>
      </c>
      <c r="H1128">
        <v>-93.754997000000003</v>
      </c>
      <c r="K1128" t="s">
        <v>155</v>
      </c>
      <c r="L1128">
        <v>1</v>
      </c>
      <c r="M1128" t="s">
        <v>90</v>
      </c>
      <c r="N1128" t="s">
        <v>91</v>
      </c>
      <c r="O1128" t="s">
        <v>92</v>
      </c>
      <c r="S1128" t="s">
        <v>108</v>
      </c>
      <c r="T1128" t="s">
        <v>102</v>
      </c>
      <c r="U1128" t="s">
        <v>248</v>
      </c>
    </row>
    <row r="1129" spans="1:21" x14ac:dyDescent="0.3">
      <c r="A1129" t="s">
        <v>2527</v>
      </c>
      <c r="B1129" s="6" t="str">
        <f>HYPERLINK("http://data.ntsb.gov/carol-repgen/api/Aviation/ReportMain/GenerateNewestReport/100594/pdf","AccidentReport")</f>
        <v>AccidentReport</v>
      </c>
      <c r="C1129" t="s">
        <v>2523</v>
      </c>
      <c r="D1129" t="s">
        <v>2513</v>
      </c>
      <c r="E1129" t="s">
        <v>131</v>
      </c>
      <c r="F1129" t="s">
        <v>88</v>
      </c>
      <c r="G1129">
        <v>39.908889000000002</v>
      </c>
      <c r="H1129">
        <v>-105.117225</v>
      </c>
      <c r="K1129" t="s">
        <v>89</v>
      </c>
      <c r="L1129">
        <v>1</v>
      </c>
      <c r="M1129" t="s">
        <v>90</v>
      </c>
      <c r="N1129" t="s">
        <v>91</v>
      </c>
      <c r="O1129" t="s">
        <v>92</v>
      </c>
      <c r="S1129" t="s">
        <v>108</v>
      </c>
      <c r="T1129" t="s">
        <v>109</v>
      </c>
      <c r="U1129" t="s">
        <v>95</v>
      </c>
    </row>
    <row r="1130" spans="1:21" x14ac:dyDescent="0.3">
      <c r="A1130" t="s">
        <v>2528</v>
      </c>
      <c r="B1130" s="6" t="str">
        <f>HYPERLINK("http://data.ntsb.gov/carol-repgen/api/Aviation/ReportMain/GenerateNewestReport/100547/pdf","AccidentReport")</f>
        <v>AccidentReport</v>
      </c>
      <c r="C1130" t="s">
        <v>2529</v>
      </c>
      <c r="D1130" t="s">
        <v>2530</v>
      </c>
      <c r="E1130" t="s">
        <v>233</v>
      </c>
      <c r="F1130" t="s">
        <v>88</v>
      </c>
      <c r="G1130">
        <v>59.112220000000001</v>
      </c>
      <c r="H1130">
        <v>-161.58139</v>
      </c>
      <c r="K1130" t="s">
        <v>89</v>
      </c>
      <c r="L1130">
        <v>1</v>
      </c>
      <c r="M1130" t="s">
        <v>90</v>
      </c>
      <c r="N1130" t="s">
        <v>91</v>
      </c>
      <c r="O1130" t="s">
        <v>92</v>
      </c>
      <c r="P1130" t="s">
        <v>2531</v>
      </c>
      <c r="Q1130" t="s">
        <v>577</v>
      </c>
      <c r="S1130" t="s">
        <v>166</v>
      </c>
      <c r="T1130" t="s">
        <v>442</v>
      </c>
      <c r="U1130" t="s">
        <v>150</v>
      </c>
    </row>
    <row r="1131" spans="1:21" x14ac:dyDescent="0.3">
      <c r="A1131" t="s">
        <v>2532</v>
      </c>
      <c r="B1131" s="6" t="str">
        <f>HYPERLINK("http://data.ntsb.gov/carol-repgen/api/Aviation/ReportMain/GenerateNewestReport/100546/pdf","AccidentReport")</f>
        <v>AccidentReport</v>
      </c>
      <c r="C1131" t="s">
        <v>2529</v>
      </c>
      <c r="D1131" t="s">
        <v>2121</v>
      </c>
      <c r="E1131" t="s">
        <v>98</v>
      </c>
      <c r="F1131" t="s">
        <v>88</v>
      </c>
      <c r="G1131">
        <v>29.941389000000001</v>
      </c>
      <c r="H1131">
        <v>-81.317779000000002</v>
      </c>
      <c r="J1131">
        <v>1</v>
      </c>
      <c r="K1131" t="s">
        <v>99</v>
      </c>
      <c r="L1131">
        <v>1</v>
      </c>
      <c r="M1131" t="s">
        <v>90</v>
      </c>
      <c r="N1131" t="s">
        <v>91</v>
      </c>
      <c r="O1131" t="s">
        <v>92</v>
      </c>
      <c r="S1131" t="s">
        <v>108</v>
      </c>
      <c r="T1131" t="s">
        <v>159</v>
      </c>
      <c r="U1131" t="s">
        <v>119</v>
      </c>
    </row>
    <row r="1132" spans="1:21" x14ac:dyDescent="0.3">
      <c r="A1132" t="s">
        <v>2533</v>
      </c>
      <c r="B1132" s="6" t="str">
        <f>HYPERLINK("http://data.ntsb.gov/carol-repgen/api/Aviation/ReportMain/GenerateNewestReport/100548/pdf","AccidentReport")</f>
        <v>AccidentReport</v>
      </c>
      <c r="C1132" t="s">
        <v>2529</v>
      </c>
      <c r="D1132" t="s">
        <v>751</v>
      </c>
      <c r="E1132" t="s">
        <v>349</v>
      </c>
      <c r="F1132" t="s">
        <v>88</v>
      </c>
      <c r="G1132">
        <v>40.036109000000003</v>
      </c>
      <c r="H1132">
        <v>-86.482223000000005</v>
      </c>
      <c r="K1132" t="s">
        <v>155</v>
      </c>
      <c r="L1132">
        <v>1</v>
      </c>
      <c r="M1132" t="s">
        <v>90</v>
      </c>
      <c r="N1132" t="s">
        <v>100</v>
      </c>
      <c r="O1132" t="s">
        <v>92</v>
      </c>
      <c r="S1132" t="s">
        <v>166</v>
      </c>
      <c r="T1132" t="s">
        <v>113</v>
      </c>
      <c r="U1132" t="s">
        <v>103</v>
      </c>
    </row>
    <row r="1133" spans="1:21" x14ac:dyDescent="0.3">
      <c r="A1133" t="s">
        <v>2534</v>
      </c>
      <c r="B1133" s="6" t="str">
        <f>HYPERLINK("http://data.ntsb.gov/carol-repgen/api/Aviation/ReportMain/GenerateNewestReport/100559/pdf","AccidentReport")</f>
        <v>AccidentReport</v>
      </c>
      <c r="C1133" t="s">
        <v>2529</v>
      </c>
      <c r="D1133" t="s">
        <v>2535</v>
      </c>
      <c r="E1133" t="s">
        <v>457</v>
      </c>
      <c r="F1133" t="s">
        <v>88</v>
      </c>
      <c r="G1133">
        <v>39.037776000000001</v>
      </c>
      <c r="H1133">
        <v>-91.725555</v>
      </c>
      <c r="K1133" t="s">
        <v>89</v>
      </c>
      <c r="L1133">
        <v>1</v>
      </c>
      <c r="M1133" t="s">
        <v>90</v>
      </c>
      <c r="N1133" t="s">
        <v>91</v>
      </c>
      <c r="O1133" t="s">
        <v>92</v>
      </c>
      <c r="S1133" t="s">
        <v>108</v>
      </c>
      <c r="T1133" t="s">
        <v>94</v>
      </c>
      <c r="U1133" t="s">
        <v>222</v>
      </c>
    </row>
    <row r="1134" spans="1:21" x14ac:dyDescent="0.3">
      <c r="A1134" t="s">
        <v>2536</v>
      </c>
      <c r="B1134" s="6" t="str">
        <f>HYPERLINK("http://data.ntsb.gov/carol-repgen/api/Aviation/ReportMain/GenerateNewestReport/100556/pdf","AccidentReport")</f>
        <v>AccidentReport</v>
      </c>
      <c r="C1134" t="s">
        <v>2537</v>
      </c>
      <c r="D1134" t="s">
        <v>910</v>
      </c>
      <c r="E1134" t="s">
        <v>112</v>
      </c>
      <c r="F1134" t="s">
        <v>88</v>
      </c>
      <c r="G1134">
        <v>48.178610999999997</v>
      </c>
      <c r="H1134">
        <v>-114.303611</v>
      </c>
      <c r="K1134" t="s">
        <v>89</v>
      </c>
      <c r="L1134">
        <v>1</v>
      </c>
      <c r="M1134" t="s">
        <v>90</v>
      </c>
      <c r="N1134" t="s">
        <v>91</v>
      </c>
      <c r="O1134" t="s">
        <v>92</v>
      </c>
      <c r="S1134" t="s">
        <v>108</v>
      </c>
      <c r="T1134" t="s">
        <v>94</v>
      </c>
      <c r="U1134" t="s">
        <v>95</v>
      </c>
    </row>
    <row r="1135" spans="1:21" x14ac:dyDescent="0.3">
      <c r="A1135" t="s">
        <v>2538</v>
      </c>
      <c r="B1135" s="6" t="str">
        <f>HYPERLINK("http://data.ntsb.gov/carol-repgen/api/Aviation/ReportMain/GenerateNewestReport/100557/pdf","AccidentReport")</f>
        <v>AccidentReport</v>
      </c>
      <c r="C1135" t="s">
        <v>2537</v>
      </c>
      <c r="D1135" t="s">
        <v>2539</v>
      </c>
      <c r="E1135" t="s">
        <v>131</v>
      </c>
      <c r="F1135" t="s">
        <v>88</v>
      </c>
      <c r="G1135">
        <v>37.064998000000003</v>
      </c>
      <c r="H1135">
        <v>-105.463607</v>
      </c>
      <c r="K1135" t="s">
        <v>89</v>
      </c>
      <c r="L1135">
        <v>1</v>
      </c>
      <c r="M1135" t="s">
        <v>90</v>
      </c>
      <c r="N1135" t="s">
        <v>91</v>
      </c>
      <c r="O1135" t="s">
        <v>92</v>
      </c>
      <c r="S1135" t="s">
        <v>108</v>
      </c>
      <c r="T1135" t="s">
        <v>109</v>
      </c>
      <c r="U1135" t="s">
        <v>95</v>
      </c>
    </row>
    <row r="1136" spans="1:21" x14ac:dyDescent="0.3">
      <c r="A1136" t="s">
        <v>2540</v>
      </c>
      <c r="B1136" s="6" t="str">
        <f>HYPERLINK("http://data.ntsb.gov/carol-repgen/api/Aviation/ReportMain/GenerateNewestReport/100583/pdf","AccidentReport")</f>
        <v>AccidentReport</v>
      </c>
      <c r="C1136" t="s">
        <v>2537</v>
      </c>
      <c r="D1136" t="s">
        <v>2541</v>
      </c>
      <c r="E1136" t="s">
        <v>356</v>
      </c>
      <c r="F1136" t="s">
        <v>88</v>
      </c>
      <c r="G1136">
        <v>31.683889000000001</v>
      </c>
      <c r="H1136">
        <v>-83.270835000000005</v>
      </c>
      <c r="K1136" t="s">
        <v>89</v>
      </c>
      <c r="L1136">
        <v>1</v>
      </c>
      <c r="M1136" t="s">
        <v>90</v>
      </c>
      <c r="N1136" t="s">
        <v>91</v>
      </c>
      <c r="O1136" t="s">
        <v>92</v>
      </c>
      <c r="S1136" t="s">
        <v>108</v>
      </c>
      <c r="T1136" t="s">
        <v>414</v>
      </c>
      <c r="U1136" t="s">
        <v>221</v>
      </c>
    </row>
    <row r="1137" spans="1:21" x14ac:dyDescent="0.3">
      <c r="A1137" t="s">
        <v>2542</v>
      </c>
      <c r="B1137" s="6" t="str">
        <f>HYPERLINK("http://data.ntsb.gov/carol-repgen/api/Aviation/ReportMain/GenerateNewestReport/100588/pdf","AccidentReport")</f>
        <v>AccidentReport</v>
      </c>
      <c r="C1137" t="s">
        <v>2537</v>
      </c>
      <c r="D1137" t="s">
        <v>2543</v>
      </c>
      <c r="E1137" t="s">
        <v>176</v>
      </c>
      <c r="F1137" t="s">
        <v>88</v>
      </c>
      <c r="G1137">
        <v>48.807220000000001</v>
      </c>
      <c r="H1137">
        <v>-117.291946</v>
      </c>
      <c r="I1137">
        <v>1</v>
      </c>
      <c r="K1137" t="s">
        <v>107</v>
      </c>
      <c r="L1137">
        <v>1</v>
      </c>
      <c r="M1137" t="s">
        <v>147</v>
      </c>
      <c r="N1137" t="s">
        <v>91</v>
      </c>
      <c r="O1137" t="s">
        <v>92</v>
      </c>
      <c r="S1137" t="s">
        <v>108</v>
      </c>
      <c r="T1137" t="s">
        <v>381</v>
      </c>
      <c r="U1137" t="s">
        <v>186</v>
      </c>
    </row>
    <row r="1138" spans="1:21" x14ac:dyDescent="0.3">
      <c r="A1138" t="s">
        <v>2544</v>
      </c>
      <c r="B1138" s="6" t="str">
        <f>HYPERLINK("http://data.ntsb.gov/carol-repgen/api/Aviation/ReportMain/GenerateNewestReport/100552/pdf","AccidentReport")</f>
        <v>AccidentReport</v>
      </c>
      <c r="C1138" t="s">
        <v>2545</v>
      </c>
      <c r="D1138" t="s">
        <v>2287</v>
      </c>
      <c r="E1138" t="s">
        <v>98</v>
      </c>
      <c r="F1138" t="s">
        <v>88</v>
      </c>
      <c r="G1138">
        <v>26.001111000000002</v>
      </c>
      <c r="H1138">
        <v>-80.240836999999999</v>
      </c>
      <c r="K1138" t="s">
        <v>89</v>
      </c>
      <c r="L1138">
        <v>1</v>
      </c>
      <c r="M1138" t="s">
        <v>90</v>
      </c>
      <c r="N1138" t="s">
        <v>91</v>
      </c>
      <c r="O1138" t="s">
        <v>92</v>
      </c>
      <c r="S1138" t="s">
        <v>93</v>
      </c>
      <c r="T1138" t="s">
        <v>94</v>
      </c>
      <c r="U1138" t="s">
        <v>95</v>
      </c>
    </row>
    <row r="1139" spans="1:21" x14ac:dyDescent="0.3">
      <c r="A1139" t="s">
        <v>2546</v>
      </c>
      <c r="B1139" s="6" t="str">
        <f>HYPERLINK("http://data.ntsb.gov/carol-repgen/api/Aviation/ReportMain/GenerateNewestReport/100564/pdf","AccidentReport")</f>
        <v>AccidentReport</v>
      </c>
      <c r="C1139" t="s">
        <v>2545</v>
      </c>
      <c r="D1139" t="s">
        <v>2547</v>
      </c>
      <c r="E1139" t="s">
        <v>106</v>
      </c>
      <c r="F1139" t="s">
        <v>88</v>
      </c>
      <c r="G1139">
        <v>33.354166999999997</v>
      </c>
      <c r="H1139">
        <v>-117.25083100000001</v>
      </c>
      <c r="K1139" t="s">
        <v>89</v>
      </c>
      <c r="L1139">
        <v>1</v>
      </c>
      <c r="M1139" t="s">
        <v>90</v>
      </c>
      <c r="N1139" t="s">
        <v>91</v>
      </c>
      <c r="O1139" t="s">
        <v>92</v>
      </c>
      <c r="S1139" t="s">
        <v>93</v>
      </c>
      <c r="T1139" t="s">
        <v>94</v>
      </c>
      <c r="U1139" t="s">
        <v>95</v>
      </c>
    </row>
    <row r="1140" spans="1:21" x14ac:dyDescent="0.3">
      <c r="A1140" t="s">
        <v>2548</v>
      </c>
      <c r="B1140" s="6" t="str">
        <f>HYPERLINK("http://data.ntsb.gov/carol-repgen/api/Aviation/ReportMain/GenerateNewestReport/100561/pdf","AccidentReport")</f>
        <v>AccidentReport</v>
      </c>
      <c r="C1140" t="s">
        <v>2549</v>
      </c>
      <c r="D1140" t="s">
        <v>2550</v>
      </c>
      <c r="E1140" t="s">
        <v>390</v>
      </c>
      <c r="F1140" t="s">
        <v>88</v>
      </c>
      <c r="G1140">
        <v>39.920833000000002</v>
      </c>
      <c r="H1140">
        <v>-74.296111999999994</v>
      </c>
      <c r="I1140">
        <v>0</v>
      </c>
      <c r="J1140">
        <v>0</v>
      </c>
      <c r="K1140" t="s">
        <v>155</v>
      </c>
      <c r="L1140">
        <v>1</v>
      </c>
      <c r="M1140" t="s">
        <v>90</v>
      </c>
      <c r="N1140" t="s">
        <v>91</v>
      </c>
      <c r="O1140" t="s">
        <v>92</v>
      </c>
      <c r="S1140" t="s">
        <v>93</v>
      </c>
      <c r="T1140" t="s">
        <v>287</v>
      </c>
      <c r="U1140" t="s">
        <v>95</v>
      </c>
    </row>
    <row r="1141" spans="1:21" x14ac:dyDescent="0.3">
      <c r="A1141" t="s">
        <v>2548</v>
      </c>
      <c r="B1141" s="6" t="str">
        <f>HYPERLINK("http://data.ntsb.gov/carol-repgen/api/Aviation/ReportMain/GenerateNewestReport/100561/pdf","AccidentReport")</f>
        <v>AccidentReport</v>
      </c>
      <c r="C1141" t="s">
        <v>2549</v>
      </c>
      <c r="D1141" t="s">
        <v>2550</v>
      </c>
      <c r="E1141" t="s">
        <v>390</v>
      </c>
      <c r="F1141" t="s">
        <v>88</v>
      </c>
      <c r="G1141">
        <v>39.920833000000002</v>
      </c>
      <c r="H1141">
        <v>-74.296111999999994</v>
      </c>
      <c r="I1141">
        <v>0</v>
      </c>
      <c r="J1141">
        <v>0</v>
      </c>
      <c r="K1141" t="s">
        <v>155</v>
      </c>
      <c r="L1141">
        <v>2</v>
      </c>
      <c r="M1141" t="s">
        <v>90</v>
      </c>
      <c r="N1141" t="s">
        <v>91</v>
      </c>
      <c r="O1141" t="s">
        <v>92</v>
      </c>
      <c r="S1141" t="s">
        <v>108</v>
      </c>
      <c r="T1141" t="s">
        <v>287</v>
      </c>
      <c r="U1141" t="s">
        <v>95</v>
      </c>
    </row>
    <row r="1142" spans="1:21" x14ac:dyDescent="0.3">
      <c r="A1142" t="s">
        <v>2551</v>
      </c>
      <c r="B1142" s="6" t="str">
        <f>HYPERLINK("http://data.ntsb.gov/carol-repgen/api/Aviation/ReportMain/GenerateNewestReport/100567/pdf","AccidentReport")</f>
        <v>AccidentReport</v>
      </c>
      <c r="C1142" t="s">
        <v>2549</v>
      </c>
      <c r="D1142" t="s">
        <v>928</v>
      </c>
      <c r="E1142" t="s">
        <v>125</v>
      </c>
      <c r="F1142" t="s">
        <v>88</v>
      </c>
      <c r="G1142">
        <v>32.476112000000001</v>
      </c>
      <c r="H1142">
        <v>-111.33777600000001</v>
      </c>
      <c r="K1142" t="s">
        <v>89</v>
      </c>
      <c r="L1142">
        <v>1</v>
      </c>
      <c r="M1142" t="s">
        <v>90</v>
      </c>
      <c r="N1142" t="s">
        <v>91</v>
      </c>
      <c r="O1142" t="s">
        <v>92</v>
      </c>
      <c r="S1142" t="s">
        <v>108</v>
      </c>
      <c r="T1142" t="s">
        <v>159</v>
      </c>
      <c r="U1142" t="s">
        <v>186</v>
      </c>
    </row>
    <row r="1143" spans="1:21" x14ac:dyDescent="0.3">
      <c r="A1143" t="s">
        <v>2552</v>
      </c>
      <c r="B1143" s="6" t="str">
        <f>HYPERLINK("http://data.ntsb.gov/carol-repgen/api/Aviation/ReportMain/GenerateNewestReport/100605/pdf","AccidentReport")</f>
        <v>AccidentReport</v>
      </c>
      <c r="C1143" t="s">
        <v>2553</v>
      </c>
      <c r="D1143" t="s">
        <v>2554</v>
      </c>
      <c r="E1143" t="s">
        <v>206</v>
      </c>
      <c r="F1143" t="s">
        <v>88</v>
      </c>
      <c r="G1143">
        <v>35.380279000000002</v>
      </c>
      <c r="H1143">
        <v>-78.732223000000005</v>
      </c>
      <c r="K1143" t="s">
        <v>89</v>
      </c>
      <c r="L1143">
        <v>1</v>
      </c>
      <c r="M1143" t="s">
        <v>90</v>
      </c>
      <c r="N1143" t="s">
        <v>91</v>
      </c>
      <c r="O1143" t="s">
        <v>92</v>
      </c>
      <c r="S1143" t="s">
        <v>108</v>
      </c>
      <c r="T1143" t="s">
        <v>94</v>
      </c>
      <c r="U1143" t="s">
        <v>248</v>
      </c>
    </row>
    <row r="1144" spans="1:21" x14ac:dyDescent="0.3">
      <c r="A1144" t="s">
        <v>2555</v>
      </c>
      <c r="B1144" s="6" t="str">
        <f>HYPERLINK("http://data.ntsb.gov/carol-repgen/api/Aviation/ReportMain/GenerateNewestReport/100591/pdf","AccidentReport")</f>
        <v>AccidentReport</v>
      </c>
      <c r="C1144" t="s">
        <v>2556</v>
      </c>
      <c r="D1144" t="s">
        <v>2557</v>
      </c>
      <c r="E1144" t="s">
        <v>260</v>
      </c>
      <c r="F1144" t="s">
        <v>88</v>
      </c>
      <c r="G1144">
        <v>38.070835000000002</v>
      </c>
      <c r="H1144">
        <v>-83.245001999999999</v>
      </c>
      <c r="K1144" t="s">
        <v>89</v>
      </c>
      <c r="L1144">
        <v>1</v>
      </c>
      <c r="M1144" t="s">
        <v>90</v>
      </c>
      <c r="N1144" t="s">
        <v>91</v>
      </c>
      <c r="O1144" t="s">
        <v>92</v>
      </c>
      <c r="S1144" t="s">
        <v>108</v>
      </c>
      <c r="T1144" t="s">
        <v>159</v>
      </c>
      <c r="U1144" t="s">
        <v>186</v>
      </c>
    </row>
    <row r="1145" spans="1:21" x14ac:dyDescent="0.3">
      <c r="A1145" t="s">
        <v>2558</v>
      </c>
      <c r="B1145" s="6" t="str">
        <f>HYPERLINK("http://data.ntsb.gov/carol-repgen/api/Aviation/ReportMain/GenerateNewestReport/100604/pdf","AccidentReport")</f>
        <v>AccidentReport</v>
      </c>
      <c r="C1145" t="s">
        <v>2559</v>
      </c>
      <c r="D1145" t="s">
        <v>2560</v>
      </c>
      <c r="E1145" t="s">
        <v>154</v>
      </c>
      <c r="F1145" t="s">
        <v>88</v>
      </c>
      <c r="G1145">
        <v>33.714168000000001</v>
      </c>
      <c r="H1145">
        <v>-96.674446000000003</v>
      </c>
      <c r="K1145" t="s">
        <v>89</v>
      </c>
      <c r="L1145">
        <v>1</v>
      </c>
      <c r="M1145" t="s">
        <v>90</v>
      </c>
      <c r="N1145" t="s">
        <v>91</v>
      </c>
      <c r="O1145" t="s">
        <v>92</v>
      </c>
      <c r="S1145" t="s">
        <v>93</v>
      </c>
      <c r="T1145" t="s">
        <v>109</v>
      </c>
      <c r="U1145" t="s">
        <v>95</v>
      </c>
    </row>
    <row r="1146" spans="1:21" x14ac:dyDescent="0.3">
      <c r="A1146" t="s">
        <v>2561</v>
      </c>
      <c r="B1146" s="6" t="str">
        <f>HYPERLINK("http://data.ntsb.gov/carol-repgen/api/Aviation/ReportMain/GenerateNewestReport/100578/pdf","AccidentReport")</f>
        <v>AccidentReport</v>
      </c>
      <c r="C1146" t="s">
        <v>2559</v>
      </c>
      <c r="D1146" t="s">
        <v>2562</v>
      </c>
      <c r="E1146" t="s">
        <v>192</v>
      </c>
      <c r="F1146" t="s">
        <v>88</v>
      </c>
      <c r="G1146">
        <v>40.478889000000002</v>
      </c>
      <c r="H1146">
        <v>-111.433891</v>
      </c>
      <c r="K1146" t="s">
        <v>89</v>
      </c>
      <c r="L1146">
        <v>1</v>
      </c>
      <c r="M1146" t="s">
        <v>90</v>
      </c>
      <c r="N1146" t="s">
        <v>91</v>
      </c>
      <c r="O1146" t="s">
        <v>92</v>
      </c>
      <c r="S1146" t="s">
        <v>101</v>
      </c>
      <c r="T1146" t="s">
        <v>247</v>
      </c>
      <c r="U1146" t="s">
        <v>95</v>
      </c>
    </row>
    <row r="1147" spans="1:21" x14ac:dyDescent="0.3">
      <c r="A1147" t="s">
        <v>2563</v>
      </c>
      <c r="B1147" s="6" t="str">
        <f>HYPERLINK("http://data.ntsb.gov/carol-repgen/api/Aviation/ReportMain/GenerateNewestReport/100579/pdf","AccidentReport")</f>
        <v>AccidentReport</v>
      </c>
      <c r="C1147" t="s">
        <v>2559</v>
      </c>
      <c r="D1147" t="s">
        <v>385</v>
      </c>
      <c r="E1147" t="s">
        <v>106</v>
      </c>
      <c r="F1147" t="s">
        <v>88</v>
      </c>
      <c r="G1147">
        <v>37.696109</v>
      </c>
      <c r="H1147">
        <v>-121.81972500000001</v>
      </c>
      <c r="K1147" t="s">
        <v>89</v>
      </c>
      <c r="L1147">
        <v>1</v>
      </c>
      <c r="M1147" t="s">
        <v>90</v>
      </c>
      <c r="N1147" t="s">
        <v>91</v>
      </c>
      <c r="O1147" t="s">
        <v>92</v>
      </c>
      <c r="S1147" t="s">
        <v>441</v>
      </c>
      <c r="T1147" t="s">
        <v>139</v>
      </c>
      <c r="U1147" t="s">
        <v>103</v>
      </c>
    </row>
    <row r="1148" spans="1:21" x14ac:dyDescent="0.3">
      <c r="A1148" t="s">
        <v>2564</v>
      </c>
      <c r="B1148" s="6" t="str">
        <f>HYPERLINK("http://data.ntsb.gov/carol-repgen/api/Aviation/ReportMain/GenerateNewestReport/100569/pdf","AccidentReport")</f>
        <v>AccidentReport</v>
      </c>
      <c r="C1148" t="s">
        <v>2565</v>
      </c>
      <c r="D1148" t="s">
        <v>2566</v>
      </c>
      <c r="E1148" t="s">
        <v>98</v>
      </c>
      <c r="F1148" t="s">
        <v>88</v>
      </c>
      <c r="G1148">
        <v>27.067222000000001</v>
      </c>
      <c r="H1148">
        <v>-82.440276999999995</v>
      </c>
      <c r="K1148" t="s">
        <v>155</v>
      </c>
      <c r="L1148">
        <v>1</v>
      </c>
      <c r="M1148" t="s">
        <v>147</v>
      </c>
      <c r="N1148" t="s">
        <v>91</v>
      </c>
      <c r="O1148" t="s">
        <v>92</v>
      </c>
      <c r="S1148" t="s">
        <v>108</v>
      </c>
      <c r="T1148" t="s">
        <v>139</v>
      </c>
      <c r="U1148" t="s">
        <v>221</v>
      </c>
    </row>
    <row r="1149" spans="1:21" x14ac:dyDescent="0.3">
      <c r="A1149" t="s">
        <v>2567</v>
      </c>
      <c r="B1149" s="6" t="str">
        <f>HYPERLINK("http://data.ntsb.gov/carol-repgen/api/Aviation/ReportMain/GenerateNewestReport/100584/pdf","AccidentReport")</f>
        <v>AccidentReport</v>
      </c>
      <c r="C1149" t="s">
        <v>2565</v>
      </c>
      <c r="D1149" t="s">
        <v>2568</v>
      </c>
      <c r="E1149" t="s">
        <v>142</v>
      </c>
      <c r="F1149" t="s">
        <v>88</v>
      </c>
      <c r="G1149">
        <v>39.935554000000003</v>
      </c>
      <c r="H1149">
        <v>-83.236389000000003</v>
      </c>
      <c r="K1149" t="s">
        <v>89</v>
      </c>
      <c r="L1149">
        <v>1</v>
      </c>
      <c r="M1149" t="s">
        <v>90</v>
      </c>
      <c r="N1149" t="s">
        <v>91</v>
      </c>
      <c r="O1149" t="s">
        <v>92</v>
      </c>
      <c r="S1149" t="s">
        <v>108</v>
      </c>
      <c r="T1149" t="s">
        <v>109</v>
      </c>
      <c r="U1149" t="s">
        <v>95</v>
      </c>
    </row>
    <row r="1150" spans="1:21" x14ac:dyDescent="0.3">
      <c r="A1150" t="s">
        <v>2569</v>
      </c>
      <c r="B1150" s="6" t="str">
        <f>HYPERLINK("http://data.ntsb.gov/carol-repgen/api/Aviation/ReportMain/GenerateNewestReport/100607/pdf","AccidentReport")</f>
        <v>AccidentReport</v>
      </c>
      <c r="C1150" t="s">
        <v>2565</v>
      </c>
      <c r="D1150" t="s">
        <v>2570</v>
      </c>
      <c r="E1150" t="s">
        <v>117</v>
      </c>
      <c r="F1150" t="s">
        <v>88</v>
      </c>
      <c r="G1150">
        <v>41.178333000000002</v>
      </c>
      <c r="H1150">
        <v>-78.898612</v>
      </c>
      <c r="K1150" t="s">
        <v>89</v>
      </c>
      <c r="L1150">
        <v>1</v>
      </c>
      <c r="M1150" t="s">
        <v>90</v>
      </c>
      <c r="N1150" t="s">
        <v>91</v>
      </c>
      <c r="O1150" t="s">
        <v>92</v>
      </c>
      <c r="S1150" t="s">
        <v>108</v>
      </c>
      <c r="T1150" t="s">
        <v>159</v>
      </c>
      <c r="U1150" t="s">
        <v>95</v>
      </c>
    </row>
    <row r="1151" spans="1:21" x14ac:dyDescent="0.3">
      <c r="A1151" t="s">
        <v>2571</v>
      </c>
      <c r="B1151" s="6" t="str">
        <f>HYPERLINK("http://data.ntsb.gov/carol-repgen/api/Aviation/ReportMain/GenerateNewestReport/100577/pdf","AccidentReport")</f>
        <v>AccidentReport</v>
      </c>
      <c r="C1151" t="s">
        <v>2565</v>
      </c>
      <c r="D1151" t="s">
        <v>246</v>
      </c>
      <c r="E1151" t="s">
        <v>192</v>
      </c>
      <c r="F1151" t="s">
        <v>88</v>
      </c>
      <c r="G1151">
        <v>41.184443999999999</v>
      </c>
      <c r="H1151">
        <v>-112.014999</v>
      </c>
      <c r="J1151">
        <v>2</v>
      </c>
      <c r="K1151" t="s">
        <v>99</v>
      </c>
      <c r="L1151">
        <v>1</v>
      </c>
      <c r="M1151" t="s">
        <v>90</v>
      </c>
      <c r="N1151" t="s">
        <v>91</v>
      </c>
      <c r="O1151" t="s">
        <v>92</v>
      </c>
      <c r="S1151" t="s">
        <v>93</v>
      </c>
      <c r="T1151" t="s">
        <v>381</v>
      </c>
      <c r="U1151" t="s">
        <v>150</v>
      </c>
    </row>
    <row r="1152" spans="1:21" x14ac:dyDescent="0.3">
      <c r="A1152" t="s">
        <v>2572</v>
      </c>
      <c r="B1152" s="6" t="str">
        <f>HYPERLINK("http://data.ntsb.gov/carol-repgen/api/Aviation/ReportMain/GenerateNewestReport/100574/pdf","AccidentReport")</f>
        <v>AccidentReport</v>
      </c>
      <c r="C1152" t="s">
        <v>2573</v>
      </c>
      <c r="D1152" t="s">
        <v>2574</v>
      </c>
      <c r="E1152" t="s">
        <v>536</v>
      </c>
      <c r="F1152" t="s">
        <v>88</v>
      </c>
      <c r="G1152">
        <v>38.980556</v>
      </c>
      <c r="H1152">
        <v>-76.922224999999997</v>
      </c>
      <c r="K1152" t="s">
        <v>89</v>
      </c>
      <c r="L1152">
        <v>1</v>
      </c>
      <c r="M1152" t="s">
        <v>90</v>
      </c>
      <c r="N1152" t="s">
        <v>91</v>
      </c>
      <c r="O1152" t="s">
        <v>92</v>
      </c>
      <c r="S1152" t="s">
        <v>108</v>
      </c>
      <c r="T1152" t="s">
        <v>94</v>
      </c>
      <c r="U1152" t="s">
        <v>95</v>
      </c>
    </row>
    <row r="1153" spans="1:21" x14ac:dyDescent="0.3">
      <c r="A1153" t="s">
        <v>2575</v>
      </c>
      <c r="B1153" s="6" t="str">
        <f>HYPERLINK("http://data.ntsb.gov/carol-repgen/api/Aviation/ReportMain/GenerateNewestReport/100608/pdf","AccidentReport")</f>
        <v>AccidentReport</v>
      </c>
      <c r="C1153" t="s">
        <v>2576</v>
      </c>
      <c r="D1153" t="s">
        <v>2577</v>
      </c>
      <c r="E1153" t="s">
        <v>117</v>
      </c>
      <c r="F1153" t="s">
        <v>88</v>
      </c>
      <c r="G1153">
        <v>39.852221999999998</v>
      </c>
      <c r="H1153">
        <v>-76.486389000000003</v>
      </c>
      <c r="K1153" t="s">
        <v>155</v>
      </c>
      <c r="L1153">
        <v>1</v>
      </c>
      <c r="M1153" t="s">
        <v>90</v>
      </c>
      <c r="N1153" t="s">
        <v>91</v>
      </c>
      <c r="O1153" t="s">
        <v>92</v>
      </c>
      <c r="S1153" t="s">
        <v>108</v>
      </c>
      <c r="T1153" t="s">
        <v>442</v>
      </c>
      <c r="U1153" t="s">
        <v>119</v>
      </c>
    </row>
    <row r="1154" spans="1:21" x14ac:dyDescent="0.3">
      <c r="A1154" t="s">
        <v>2578</v>
      </c>
      <c r="B1154" s="6" t="str">
        <f>HYPERLINK("http://data.ntsb.gov/carol-repgen/api/Aviation/ReportMain/GenerateNewestReport/100592/pdf","AccidentReport")</f>
        <v>AccidentReport</v>
      </c>
      <c r="C1154" t="s">
        <v>2579</v>
      </c>
      <c r="D1154" t="s">
        <v>1869</v>
      </c>
      <c r="E1154" t="s">
        <v>154</v>
      </c>
      <c r="F1154" t="s">
        <v>88</v>
      </c>
      <c r="G1154">
        <v>29.899999000000001</v>
      </c>
      <c r="H1154">
        <v>-97.852500000000006</v>
      </c>
      <c r="I1154">
        <v>1</v>
      </c>
      <c r="K1154" t="s">
        <v>107</v>
      </c>
      <c r="L1154">
        <v>1</v>
      </c>
      <c r="M1154" t="s">
        <v>147</v>
      </c>
      <c r="N1154" t="s">
        <v>91</v>
      </c>
      <c r="O1154" t="s">
        <v>92</v>
      </c>
      <c r="S1154" t="s">
        <v>173</v>
      </c>
      <c r="T1154" t="s">
        <v>102</v>
      </c>
      <c r="U1154" t="s">
        <v>150</v>
      </c>
    </row>
    <row r="1155" spans="1:21" x14ac:dyDescent="0.3">
      <c r="A1155" t="s">
        <v>2580</v>
      </c>
      <c r="B1155" s="6" t="str">
        <f>HYPERLINK("http://data.ntsb.gov/carol-repgen/api/Aviation/ReportMain/GenerateNewestReport/100610/pdf","AccidentReport")</f>
        <v>AccidentReport</v>
      </c>
      <c r="C1155" t="s">
        <v>2581</v>
      </c>
      <c r="D1155" t="s">
        <v>2520</v>
      </c>
      <c r="E1155" t="s">
        <v>154</v>
      </c>
      <c r="F1155" t="s">
        <v>88</v>
      </c>
      <c r="G1155">
        <v>32.489722999999998</v>
      </c>
      <c r="H1155">
        <v>-95.481941000000006</v>
      </c>
      <c r="J1155">
        <v>1</v>
      </c>
      <c r="K1155" t="s">
        <v>99</v>
      </c>
      <c r="L1155">
        <v>1</v>
      </c>
      <c r="M1155" t="s">
        <v>90</v>
      </c>
      <c r="N1155" t="s">
        <v>91</v>
      </c>
      <c r="O1155" t="s">
        <v>92</v>
      </c>
      <c r="S1155" t="s">
        <v>108</v>
      </c>
      <c r="T1155" t="s">
        <v>381</v>
      </c>
      <c r="U1155" t="s">
        <v>186</v>
      </c>
    </row>
    <row r="1156" spans="1:21" x14ac:dyDescent="0.3">
      <c r="A1156" t="s">
        <v>2582</v>
      </c>
      <c r="B1156" s="6" t="str">
        <f>HYPERLINK("http://data.ntsb.gov/carol-repgen/api/Aviation/ReportMain/GenerateNewestReport/100603/pdf","AccidentReport")</f>
        <v>AccidentReport</v>
      </c>
      <c r="C1156" t="s">
        <v>2581</v>
      </c>
      <c r="D1156" t="s">
        <v>2583</v>
      </c>
      <c r="E1156" t="s">
        <v>290</v>
      </c>
      <c r="F1156" t="s">
        <v>88</v>
      </c>
      <c r="G1156">
        <v>41.967776999999998</v>
      </c>
      <c r="H1156">
        <v>-114.64610999999999</v>
      </c>
      <c r="I1156">
        <v>2</v>
      </c>
      <c r="K1156" t="s">
        <v>107</v>
      </c>
      <c r="L1156">
        <v>1</v>
      </c>
      <c r="M1156" t="s">
        <v>147</v>
      </c>
      <c r="N1156" t="s">
        <v>91</v>
      </c>
      <c r="O1156" t="s">
        <v>92</v>
      </c>
      <c r="S1156" t="s">
        <v>108</v>
      </c>
      <c r="T1156" t="s">
        <v>102</v>
      </c>
      <c r="U1156" t="s">
        <v>150</v>
      </c>
    </row>
    <row r="1157" spans="1:21" x14ac:dyDescent="0.3">
      <c r="A1157" t="s">
        <v>2584</v>
      </c>
      <c r="B1157" s="6" t="str">
        <f>HYPERLINK("http://data.ntsb.gov/carol-repgen/api/Aviation/ReportMain/GenerateNewestReport/100647/pdf","AccidentReport")</f>
        <v>AccidentReport</v>
      </c>
      <c r="C1157" t="s">
        <v>2585</v>
      </c>
      <c r="D1157" t="s">
        <v>2586</v>
      </c>
      <c r="E1157" t="s">
        <v>87</v>
      </c>
      <c r="F1157" t="s">
        <v>88</v>
      </c>
      <c r="G1157">
        <v>45.440277000000002</v>
      </c>
      <c r="H1157">
        <v>-93.970557999999997</v>
      </c>
      <c r="K1157" t="s">
        <v>89</v>
      </c>
      <c r="L1157">
        <v>1</v>
      </c>
      <c r="M1157" t="s">
        <v>90</v>
      </c>
      <c r="N1157" t="s">
        <v>91</v>
      </c>
      <c r="O1157" t="s">
        <v>92</v>
      </c>
      <c r="S1157" t="s">
        <v>108</v>
      </c>
      <c r="T1157" t="s">
        <v>102</v>
      </c>
      <c r="U1157" t="s">
        <v>119</v>
      </c>
    </row>
    <row r="1158" spans="1:21" x14ac:dyDescent="0.3">
      <c r="A1158" t="s">
        <v>2587</v>
      </c>
      <c r="B1158" s="6" t="str">
        <f>HYPERLINK("http://data.ntsb.gov/carol-repgen/api/Aviation/ReportMain/GenerateNewestReport/100676/pdf","AccidentReport")</f>
        <v>AccidentReport</v>
      </c>
      <c r="C1158" t="s">
        <v>2585</v>
      </c>
      <c r="D1158" t="s">
        <v>795</v>
      </c>
      <c r="E1158" t="s">
        <v>154</v>
      </c>
      <c r="F1158" t="s">
        <v>88</v>
      </c>
      <c r="G1158">
        <v>29.830627</v>
      </c>
      <c r="H1158">
        <v>-95.289360000000002</v>
      </c>
      <c r="K1158" t="s">
        <v>89</v>
      </c>
      <c r="L1158">
        <v>1</v>
      </c>
      <c r="M1158" t="s">
        <v>90</v>
      </c>
      <c r="N1158" t="s">
        <v>91</v>
      </c>
      <c r="O1158" t="s">
        <v>92</v>
      </c>
      <c r="S1158" t="s">
        <v>108</v>
      </c>
      <c r="T1158" t="s">
        <v>102</v>
      </c>
      <c r="U1158" t="s">
        <v>95</v>
      </c>
    </row>
    <row r="1159" spans="1:21" x14ac:dyDescent="0.3">
      <c r="A1159" t="s">
        <v>2588</v>
      </c>
      <c r="B1159" s="6" t="str">
        <f>HYPERLINK("http://data.ntsb.gov/carol-repgen/api/Aviation/ReportMain/GenerateNewestReport/100602/pdf","AccidentReport")</f>
        <v>AccidentReport</v>
      </c>
      <c r="C1159" t="s">
        <v>2585</v>
      </c>
      <c r="D1159" t="s">
        <v>1527</v>
      </c>
      <c r="E1159" t="s">
        <v>98</v>
      </c>
      <c r="F1159" t="s">
        <v>88</v>
      </c>
      <c r="G1159">
        <v>27.260555</v>
      </c>
      <c r="H1159">
        <v>-80.847503000000003</v>
      </c>
      <c r="J1159">
        <v>1</v>
      </c>
      <c r="K1159" t="s">
        <v>99</v>
      </c>
      <c r="L1159">
        <v>1</v>
      </c>
      <c r="M1159" t="s">
        <v>147</v>
      </c>
      <c r="N1159" t="s">
        <v>91</v>
      </c>
      <c r="O1159" t="s">
        <v>92</v>
      </c>
      <c r="S1159" t="s">
        <v>108</v>
      </c>
      <c r="T1159" t="s">
        <v>159</v>
      </c>
      <c r="U1159" t="s">
        <v>150</v>
      </c>
    </row>
    <row r="1160" spans="1:21" x14ac:dyDescent="0.3">
      <c r="A1160" t="s">
        <v>2589</v>
      </c>
      <c r="B1160" s="6" t="str">
        <f>HYPERLINK("http://data.ntsb.gov/carol-repgen/api/Aviation/ReportMain/GenerateNewestReport/100622/pdf","AccidentReport")</f>
        <v>AccidentReport</v>
      </c>
      <c r="C1160" t="s">
        <v>2585</v>
      </c>
      <c r="D1160" t="s">
        <v>2590</v>
      </c>
      <c r="E1160" t="s">
        <v>131</v>
      </c>
      <c r="F1160" t="s">
        <v>88</v>
      </c>
      <c r="G1160">
        <v>38.069721000000001</v>
      </c>
      <c r="H1160">
        <v>-102.688613</v>
      </c>
      <c r="K1160" t="s">
        <v>89</v>
      </c>
      <c r="L1160">
        <v>1</v>
      </c>
      <c r="M1160" t="s">
        <v>90</v>
      </c>
      <c r="N1160" t="s">
        <v>91</v>
      </c>
      <c r="O1160" t="s">
        <v>92</v>
      </c>
      <c r="S1160" t="s">
        <v>108</v>
      </c>
      <c r="T1160" t="s">
        <v>102</v>
      </c>
      <c r="U1160" t="s">
        <v>119</v>
      </c>
    </row>
    <row r="1161" spans="1:21" x14ac:dyDescent="0.3">
      <c r="A1161" t="s">
        <v>2591</v>
      </c>
      <c r="B1161" s="6" t="str">
        <f>HYPERLINK("http://data.ntsb.gov/carol-repgen/api/Aviation/ReportMain/GenerateNewestReport/100629/pdf","AccidentReport")</f>
        <v>AccidentReport</v>
      </c>
      <c r="C1161" t="s">
        <v>2585</v>
      </c>
      <c r="D1161" t="s">
        <v>2592</v>
      </c>
      <c r="E1161" t="s">
        <v>709</v>
      </c>
      <c r="F1161" t="s">
        <v>88</v>
      </c>
      <c r="G1161">
        <v>41.916110000000003</v>
      </c>
      <c r="H1161">
        <v>-72.776947000000007</v>
      </c>
      <c r="K1161" t="s">
        <v>155</v>
      </c>
      <c r="L1161">
        <v>1</v>
      </c>
      <c r="M1161" t="s">
        <v>90</v>
      </c>
      <c r="N1161" t="s">
        <v>91</v>
      </c>
      <c r="O1161" t="s">
        <v>92</v>
      </c>
      <c r="S1161" t="s">
        <v>93</v>
      </c>
      <c r="T1161" t="s">
        <v>220</v>
      </c>
      <c r="U1161" t="s">
        <v>95</v>
      </c>
    </row>
    <row r="1162" spans="1:21" x14ac:dyDescent="0.3">
      <c r="A1162" t="s">
        <v>2593</v>
      </c>
      <c r="B1162" s="6" t="str">
        <f>HYPERLINK("http://data.ntsb.gov/carol-repgen/api/Aviation/ReportMain/GenerateNewestReport/100627/pdf","AccidentReport")</f>
        <v>AccidentReport</v>
      </c>
      <c r="C1162" t="s">
        <v>2585</v>
      </c>
      <c r="D1162" t="s">
        <v>1390</v>
      </c>
      <c r="E1162" t="s">
        <v>122</v>
      </c>
      <c r="F1162" t="s">
        <v>88</v>
      </c>
      <c r="G1162">
        <v>43.641944000000002</v>
      </c>
      <c r="H1162">
        <v>-116.63583300000001</v>
      </c>
      <c r="K1162" t="s">
        <v>89</v>
      </c>
      <c r="L1162">
        <v>1</v>
      </c>
      <c r="M1162" t="s">
        <v>90</v>
      </c>
      <c r="N1162" t="s">
        <v>91</v>
      </c>
      <c r="O1162" t="s">
        <v>92</v>
      </c>
      <c r="S1162" t="s">
        <v>108</v>
      </c>
      <c r="T1162" t="s">
        <v>159</v>
      </c>
      <c r="U1162" t="s">
        <v>248</v>
      </c>
    </row>
    <row r="1163" spans="1:21" x14ac:dyDescent="0.3">
      <c r="A1163" t="s">
        <v>2594</v>
      </c>
      <c r="B1163" s="6" t="str">
        <f>HYPERLINK("http://data.ntsb.gov/carol-repgen/api/Aviation/ReportMain/GenerateNewestReport/100742/pdf","AccidentReport")</f>
        <v>AccidentReport</v>
      </c>
      <c r="C1163" t="s">
        <v>2595</v>
      </c>
      <c r="D1163" t="s">
        <v>430</v>
      </c>
      <c r="E1163" t="s">
        <v>228</v>
      </c>
      <c r="F1163" t="s">
        <v>88</v>
      </c>
      <c r="G1163">
        <v>32.435276000000002</v>
      </c>
      <c r="H1163">
        <v>-93.816108</v>
      </c>
      <c r="K1163" t="s">
        <v>89</v>
      </c>
      <c r="L1163">
        <v>1</v>
      </c>
      <c r="M1163" t="s">
        <v>90</v>
      </c>
      <c r="N1163" t="s">
        <v>91</v>
      </c>
      <c r="O1163" t="s">
        <v>92</v>
      </c>
      <c r="S1163" t="s">
        <v>93</v>
      </c>
      <c r="T1163" t="s">
        <v>159</v>
      </c>
      <c r="U1163" t="s">
        <v>119</v>
      </c>
    </row>
    <row r="1164" spans="1:21" x14ac:dyDescent="0.3">
      <c r="A1164" t="s">
        <v>2596</v>
      </c>
      <c r="B1164" s="6" t="str">
        <f>HYPERLINK("http://data.ntsb.gov/carol-repgen/api/Aviation/ReportMain/GenerateNewestReport/100601/pdf","AccidentReport")</f>
        <v>AccidentReport</v>
      </c>
      <c r="C1164" t="s">
        <v>2595</v>
      </c>
      <c r="D1164" t="s">
        <v>592</v>
      </c>
      <c r="E1164" t="s">
        <v>98</v>
      </c>
      <c r="F1164" t="s">
        <v>88</v>
      </c>
      <c r="G1164">
        <v>30.637499999999999</v>
      </c>
      <c r="H1164">
        <v>-86.993613999999994</v>
      </c>
      <c r="I1164">
        <v>1</v>
      </c>
      <c r="K1164" t="s">
        <v>107</v>
      </c>
      <c r="L1164">
        <v>1</v>
      </c>
      <c r="M1164" t="s">
        <v>90</v>
      </c>
      <c r="N1164" t="s">
        <v>91</v>
      </c>
      <c r="O1164" t="s">
        <v>92</v>
      </c>
      <c r="S1164" t="s">
        <v>108</v>
      </c>
      <c r="T1164" t="s">
        <v>102</v>
      </c>
      <c r="U1164" t="s">
        <v>248</v>
      </c>
    </row>
    <row r="1165" spans="1:21" x14ac:dyDescent="0.3">
      <c r="A1165" t="s">
        <v>2597</v>
      </c>
      <c r="B1165" s="6" t="str">
        <f>HYPERLINK("http://data.ntsb.gov/carol-repgen/api/Aviation/ReportMain/GenerateNewestReport/100628/pdf","AccidentReport")</f>
        <v>AccidentReport</v>
      </c>
      <c r="C1165" t="s">
        <v>2598</v>
      </c>
      <c r="D1165" t="s">
        <v>2599</v>
      </c>
      <c r="E1165" t="s">
        <v>106</v>
      </c>
      <c r="F1165" t="s">
        <v>88</v>
      </c>
      <c r="G1165">
        <v>33.685277999999997</v>
      </c>
      <c r="H1165">
        <v>-115.26721999999999</v>
      </c>
      <c r="I1165">
        <v>1</v>
      </c>
      <c r="K1165" t="s">
        <v>107</v>
      </c>
      <c r="L1165">
        <v>1</v>
      </c>
      <c r="M1165" t="s">
        <v>147</v>
      </c>
      <c r="N1165" t="s">
        <v>91</v>
      </c>
      <c r="O1165" t="s">
        <v>92</v>
      </c>
      <c r="S1165" t="s">
        <v>108</v>
      </c>
      <c r="T1165" t="s">
        <v>934</v>
      </c>
      <c r="U1165" t="s">
        <v>103</v>
      </c>
    </row>
    <row r="1166" spans="1:21" x14ac:dyDescent="0.3">
      <c r="A1166" t="s">
        <v>2600</v>
      </c>
      <c r="B1166" s="6" t="str">
        <f>HYPERLINK("http://data.ntsb.gov/carol-repgen/api/Aviation/ReportMain/GenerateNewestReport/100640/pdf","AccidentReport")</f>
        <v>AccidentReport</v>
      </c>
      <c r="C1166" t="s">
        <v>2598</v>
      </c>
      <c r="D1166" t="s">
        <v>2601</v>
      </c>
      <c r="E1166" t="s">
        <v>154</v>
      </c>
      <c r="F1166" t="s">
        <v>88</v>
      </c>
      <c r="G1166">
        <v>33.094164999999997</v>
      </c>
      <c r="H1166">
        <v>-94.961387000000002</v>
      </c>
      <c r="I1166">
        <v>0</v>
      </c>
      <c r="J1166">
        <v>0</v>
      </c>
      <c r="K1166" t="s">
        <v>89</v>
      </c>
      <c r="L1166">
        <v>1</v>
      </c>
      <c r="M1166" t="s">
        <v>90</v>
      </c>
      <c r="N1166" t="s">
        <v>91</v>
      </c>
      <c r="O1166" t="s">
        <v>92</v>
      </c>
      <c r="S1166" t="s">
        <v>93</v>
      </c>
      <c r="T1166" t="s">
        <v>109</v>
      </c>
      <c r="U1166" t="s">
        <v>95</v>
      </c>
    </row>
    <row r="1167" spans="1:21" x14ac:dyDescent="0.3">
      <c r="A1167" t="s">
        <v>2602</v>
      </c>
      <c r="B1167" s="6" t="str">
        <f>HYPERLINK("http://data.ntsb.gov/carol-repgen/api/Aviation/ReportMain/GenerateNewestReport/100625/pdf","AccidentReport")</f>
        <v>AccidentReport</v>
      </c>
      <c r="C1167" t="s">
        <v>2598</v>
      </c>
      <c r="D1167" t="s">
        <v>2603</v>
      </c>
      <c r="E1167" t="s">
        <v>106</v>
      </c>
      <c r="F1167" t="s">
        <v>88</v>
      </c>
      <c r="G1167">
        <v>34.571109</v>
      </c>
      <c r="H1167">
        <v>-117.668891</v>
      </c>
      <c r="K1167" t="s">
        <v>89</v>
      </c>
      <c r="L1167">
        <v>1</v>
      </c>
      <c r="M1167" t="s">
        <v>90</v>
      </c>
      <c r="N1167" t="s">
        <v>91</v>
      </c>
      <c r="O1167" t="s">
        <v>92</v>
      </c>
      <c r="S1167" t="s">
        <v>93</v>
      </c>
      <c r="T1167" t="s">
        <v>247</v>
      </c>
      <c r="U1167" t="s">
        <v>95</v>
      </c>
    </row>
    <row r="1168" spans="1:21" x14ac:dyDescent="0.3">
      <c r="A1168" t="s">
        <v>2604</v>
      </c>
      <c r="B1168" s="6" t="str">
        <f>HYPERLINK("http://data.ntsb.gov/carol-repgen/api/Aviation/ReportMain/GenerateNewestReport/100770/pdf","AccidentReport")</f>
        <v>AccidentReport</v>
      </c>
      <c r="C1168" t="s">
        <v>2598</v>
      </c>
      <c r="D1168" t="s">
        <v>553</v>
      </c>
      <c r="E1168" t="s">
        <v>106</v>
      </c>
      <c r="F1168" t="s">
        <v>88</v>
      </c>
      <c r="G1168">
        <v>32.809443999999999</v>
      </c>
      <c r="H1168">
        <v>-117.13694700000001</v>
      </c>
      <c r="K1168" t="s">
        <v>89</v>
      </c>
      <c r="L1168">
        <v>1</v>
      </c>
      <c r="M1168" t="s">
        <v>90</v>
      </c>
      <c r="N1168" t="s">
        <v>91</v>
      </c>
      <c r="O1168" t="s">
        <v>92</v>
      </c>
      <c r="S1168" t="s">
        <v>108</v>
      </c>
      <c r="T1168" t="s">
        <v>94</v>
      </c>
      <c r="U1168" t="s">
        <v>95</v>
      </c>
    </row>
    <row r="1169" spans="1:21" x14ac:dyDescent="0.3">
      <c r="A1169" t="s">
        <v>2605</v>
      </c>
      <c r="B1169" s="6" t="str">
        <f>HYPERLINK("http://data.ntsb.gov/carol-repgen/api/Aviation/ReportMain/GenerateNewestReport/100631/pdf","AccidentReport")</f>
        <v>AccidentReport</v>
      </c>
      <c r="C1169" t="s">
        <v>2606</v>
      </c>
      <c r="D1169" t="s">
        <v>1985</v>
      </c>
      <c r="E1169" t="s">
        <v>290</v>
      </c>
      <c r="F1169" t="s">
        <v>88</v>
      </c>
      <c r="G1169">
        <v>36.400001000000003</v>
      </c>
      <c r="H1169">
        <v>-115.180831</v>
      </c>
      <c r="I1169">
        <v>3</v>
      </c>
      <c r="K1169" t="s">
        <v>107</v>
      </c>
      <c r="L1169">
        <v>1</v>
      </c>
      <c r="M1169" t="s">
        <v>147</v>
      </c>
      <c r="N1169" t="s">
        <v>91</v>
      </c>
      <c r="O1169" t="s">
        <v>92</v>
      </c>
      <c r="S1169" t="s">
        <v>108</v>
      </c>
      <c r="T1169" t="s">
        <v>332</v>
      </c>
      <c r="U1169" t="s">
        <v>186</v>
      </c>
    </row>
    <row r="1170" spans="1:21" x14ac:dyDescent="0.3">
      <c r="A1170" t="s">
        <v>2607</v>
      </c>
      <c r="B1170" s="6" t="str">
        <f>HYPERLINK("http://data.ntsb.gov/carol-repgen/api/Aviation/ReportMain/GenerateNewestReport/100638/pdf","AccidentReport")</f>
        <v>AccidentReport</v>
      </c>
      <c r="C1170" t="s">
        <v>2608</v>
      </c>
      <c r="D1170" t="s">
        <v>1684</v>
      </c>
      <c r="F1170" t="s">
        <v>874</v>
      </c>
      <c r="G1170">
        <v>44.281030999999999</v>
      </c>
      <c r="H1170">
        <v>-76.606595999999996</v>
      </c>
      <c r="I1170">
        <v>7</v>
      </c>
      <c r="K1170" t="s">
        <v>107</v>
      </c>
      <c r="L1170">
        <v>1</v>
      </c>
      <c r="M1170" t="s">
        <v>147</v>
      </c>
      <c r="N1170" t="s">
        <v>91</v>
      </c>
      <c r="O1170" t="s">
        <v>92</v>
      </c>
      <c r="S1170" t="s">
        <v>108</v>
      </c>
      <c r="T1170" t="s">
        <v>102</v>
      </c>
      <c r="U1170" t="s">
        <v>186</v>
      </c>
    </row>
    <row r="1171" spans="1:21" x14ac:dyDescent="0.3">
      <c r="A1171" t="s">
        <v>2609</v>
      </c>
      <c r="B1171" s="6" t="str">
        <f>HYPERLINK("http://data.ntsb.gov/carol-repgen/api/Aviation/ReportMain/GenerateNewestReport/100634/pdf","AccidentReport")</f>
        <v>AccidentReport</v>
      </c>
      <c r="C1171" t="s">
        <v>2610</v>
      </c>
      <c r="D1171" t="s">
        <v>2611</v>
      </c>
      <c r="E1171" t="s">
        <v>106</v>
      </c>
      <c r="F1171" t="s">
        <v>88</v>
      </c>
      <c r="G1171">
        <v>37.830275999999998</v>
      </c>
      <c r="H1171">
        <v>-121.626113</v>
      </c>
      <c r="K1171" t="s">
        <v>89</v>
      </c>
      <c r="L1171">
        <v>1</v>
      </c>
      <c r="M1171" t="s">
        <v>90</v>
      </c>
      <c r="N1171" t="s">
        <v>91</v>
      </c>
      <c r="O1171" t="s">
        <v>92</v>
      </c>
      <c r="S1171" t="s">
        <v>418</v>
      </c>
      <c r="T1171" t="s">
        <v>159</v>
      </c>
      <c r="U1171" t="s">
        <v>119</v>
      </c>
    </row>
    <row r="1172" spans="1:21" x14ac:dyDescent="0.3">
      <c r="A1172" t="s">
        <v>2612</v>
      </c>
      <c r="B1172" s="6" t="str">
        <f>HYPERLINK("http://data.ntsb.gov/carol-repgen/api/Aviation/ReportMain/GenerateNewestReport/100648/pdf","AccidentReport")</f>
        <v>AccidentReport</v>
      </c>
      <c r="C1172" t="s">
        <v>2613</v>
      </c>
      <c r="D1172" t="s">
        <v>2614</v>
      </c>
      <c r="E1172" t="s">
        <v>138</v>
      </c>
      <c r="F1172" t="s">
        <v>88</v>
      </c>
      <c r="G1172">
        <v>42.686110999999997</v>
      </c>
      <c r="H1172">
        <v>-84.313056000000003</v>
      </c>
      <c r="K1172" t="s">
        <v>89</v>
      </c>
      <c r="L1172">
        <v>1</v>
      </c>
      <c r="M1172" t="s">
        <v>90</v>
      </c>
      <c r="N1172" t="s">
        <v>91</v>
      </c>
      <c r="O1172" t="s">
        <v>92</v>
      </c>
      <c r="S1172" t="s">
        <v>108</v>
      </c>
      <c r="T1172" t="s">
        <v>109</v>
      </c>
      <c r="U1172" t="s">
        <v>221</v>
      </c>
    </row>
    <row r="1173" spans="1:21" x14ac:dyDescent="0.3">
      <c r="A1173" t="s">
        <v>2615</v>
      </c>
      <c r="B1173" s="6" t="str">
        <f>HYPERLINK("http://data.ntsb.gov/carol-repgen/api/Aviation/ReportMain/GenerateNewestReport/100636/pdf","AccidentReport")</f>
        <v>AccidentReport</v>
      </c>
      <c r="C1173" t="s">
        <v>2613</v>
      </c>
      <c r="D1173" t="s">
        <v>2616</v>
      </c>
      <c r="E1173" t="s">
        <v>180</v>
      </c>
      <c r="F1173" t="s">
        <v>88</v>
      </c>
      <c r="G1173">
        <v>43.765555999999997</v>
      </c>
      <c r="H1173">
        <v>-99.337219000000005</v>
      </c>
      <c r="I1173">
        <v>9</v>
      </c>
      <c r="J1173">
        <v>3</v>
      </c>
      <c r="K1173" t="s">
        <v>107</v>
      </c>
      <c r="L1173">
        <v>1</v>
      </c>
      <c r="M1173" t="s">
        <v>147</v>
      </c>
      <c r="N1173" t="s">
        <v>91</v>
      </c>
      <c r="O1173" t="s">
        <v>92</v>
      </c>
      <c r="S1173" t="s">
        <v>108</v>
      </c>
      <c r="T1173" t="s">
        <v>102</v>
      </c>
      <c r="U1173" t="s">
        <v>150</v>
      </c>
    </row>
    <row r="1174" spans="1:21" x14ac:dyDescent="0.3">
      <c r="A1174" t="s">
        <v>2617</v>
      </c>
      <c r="B1174" s="6" t="str">
        <f>HYPERLINK("http://data.ntsb.gov/carol-repgen/api/Aviation/ReportMain/GenerateNewestReport/100641/pdf","AccidentReport")</f>
        <v>AccidentReport</v>
      </c>
      <c r="C1174" t="s">
        <v>2613</v>
      </c>
      <c r="D1174" t="s">
        <v>2618</v>
      </c>
      <c r="E1174" t="s">
        <v>356</v>
      </c>
      <c r="F1174" t="s">
        <v>88</v>
      </c>
      <c r="G1174">
        <v>32.766666000000001</v>
      </c>
      <c r="H1174">
        <v>-82.809996999999996</v>
      </c>
      <c r="K1174" t="s">
        <v>155</v>
      </c>
      <c r="L1174">
        <v>1</v>
      </c>
      <c r="M1174" t="s">
        <v>90</v>
      </c>
      <c r="N1174" t="s">
        <v>91</v>
      </c>
      <c r="O1174" t="s">
        <v>92</v>
      </c>
      <c r="S1174" t="s">
        <v>108</v>
      </c>
      <c r="T1174" t="s">
        <v>159</v>
      </c>
      <c r="U1174" t="s">
        <v>186</v>
      </c>
    </row>
    <row r="1175" spans="1:21" x14ac:dyDescent="0.3">
      <c r="A1175" t="s">
        <v>2619</v>
      </c>
      <c r="B1175" s="6" t="str">
        <f>HYPERLINK("http://data.ntsb.gov/carol-repgen/api/Aviation/ReportMain/GenerateNewestReport/100637/pdf","AccidentReport")</f>
        <v>AccidentReport</v>
      </c>
      <c r="C1175" t="s">
        <v>2620</v>
      </c>
      <c r="D1175" t="s">
        <v>1135</v>
      </c>
      <c r="E1175" t="s">
        <v>154</v>
      </c>
      <c r="F1175" t="s">
        <v>88</v>
      </c>
      <c r="G1175">
        <v>29.550832</v>
      </c>
      <c r="H1175">
        <v>-98.499724999999998</v>
      </c>
      <c r="I1175">
        <v>3</v>
      </c>
      <c r="K1175" t="s">
        <v>107</v>
      </c>
      <c r="L1175">
        <v>1</v>
      </c>
      <c r="M1175" t="s">
        <v>90</v>
      </c>
      <c r="N1175" t="s">
        <v>91</v>
      </c>
      <c r="O1175" t="s">
        <v>92</v>
      </c>
      <c r="S1175" t="s">
        <v>93</v>
      </c>
      <c r="T1175" t="s">
        <v>102</v>
      </c>
      <c r="U1175" t="s">
        <v>119</v>
      </c>
    </row>
    <row r="1176" spans="1:21" x14ac:dyDescent="0.3">
      <c r="A1176" t="s">
        <v>2621</v>
      </c>
      <c r="B1176" s="6" t="str">
        <f>HYPERLINK("http://data.ntsb.gov/carol-repgen/api/Aviation/ReportMain/GenerateNewestReport/100658/pdf","AccidentReport")</f>
        <v>AccidentReport</v>
      </c>
      <c r="C1176" t="s">
        <v>2620</v>
      </c>
      <c r="D1176" t="s">
        <v>2622</v>
      </c>
      <c r="E1176" t="s">
        <v>146</v>
      </c>
      <c r="F1176" t="s">
        <v>88</v>
      </c>
      <c r="G1176">
        <v>36.380001</v>
      </c>
      <c r="H1176">
        <v>-88.989997000000002</v>
      </c>
      <c r="I1176">
        <v>0</v>
      </c>
      <c r="J1176">
        <v>0</v>
      </c>
      <c r="K1176" t="s">
        <v>89</v>
      </c>
      <c r="L1176">
        <v>1</v>
      </c>
      <c r="M1176" t="s">
        <v>90</v>
      </c>
      <c r="N1176" t="s">
        <v>91</v>
      </c>
      <c r="O1176" t="s">
        <v>92</v>
      </c>
      <c r="S1176" t="s">
        <v>108</v>
      </c>
      <c r="T1176" t="s">
        <v>94</v>
      </c>
      <c r="U1176" t="s">
        <v>95</v>
      </c>
    </row>
    <row r="1177" spans="1:21" x14ac:dyDescent="0.3">
      <c r="A1177" t="s">
        <v>2623</v>
      </c>
      <c r="B1177" s="6" t="str">
        <f>HYPERLINK("http://data.ntsb.gov/carol-repgen/api/Aviation/ReportMain/GenerateNewestReport/100643/pdf","AccidentReport")</f>
        <v>AccidentReport</v>
      </c>
      <c r="C1177" t="s">
        <v>2624</v>
      </c>
      <c r="D1177" t="s">
        <v>327</v>
      </c>
      <c r="E1177" t="s">
        <v>98</v>
      </c>
      <c r="F1177" t="s">
        <v>88</v>
      </c>
      <c r="G1177">
        <v>27.645833</v>
      </c>
      <c r="H1177">
        <v>-80.427779999999998</v>
      </c>
      <c r="K1177" t="s">
        <v>89</v>
      </c>
      <c r="L1177">
        <v>1</v>
      </c>
      <c r="M1177" t="s">
        <v>90</v>
      </c>
      <c r="N1177" t="s">
        <v>91</v>
      </c>
      <c r="O1177" t="s">
        <v>92</v>
      </c>
      <c r="S1177" t="s">
        <v>93</v>
      </c>
      <c r="T1177" t="s">
        <v>118</v>
      </c>
      <c r="U1177" t="s">
        <v>119</v>
      </c>
    </row>
    <row r="1178" spans="1:21" x14ac:dyDescent="0.3">
      <c r="A1178" t="s">
        <v>2625</v>
      </c>
      <c r="B1178" s="6" t="str">
        <f>HYPERLINK("http://data.ntsb.gov/carol-repgen/api/Aviation/ReportMain/GenerateNewestReport/100652/pdf","AccidentReport")</f>
        <v>AccidentReport</v>
      </c>
      <c r="C1178" t="s">
        <v>2626</v>
      </c>
      <c r="D1178" t="s">
        <v>2627</v>
      </c>
      <c r="E1178" t="s">
        <v>641</v>
      </c>
      <c r="F1178" t="s">
        <v>88</v>
      </c>
      <c r="G1178">
        <v>34.64611</v>
      </c>
      <c r="H1178">
        <v>-89.305273999999997</v>
      </c>
      <c r="J1178">
        <v>1</v>
      </c>
      <c r="K1178" t="s">
        <v>99</v>
      </c>
      <c r="L1178">
        <v>1</v>
      </c>
      <c r="M1178" t="s">
        <v>90</v>
      </c>
      <c r="N1178" t="s">
        <v>91</v>
      </c>
      <c r="O1178" t="s">
        <v>92</v>
      </c>
      <c r="S1178" t="s">
        <v>108</v>
      </c>
      <c r="T1178" t="s">
        <v>159</v>
      </c>
      <c r="U1178" t="s">
        <v>186</v>
      </c>
    </row>
    <row r="1179" spans="1:21" x14ac:dyDescent="0.3">
      <c r="A1179" t="s">
        <v>2628</v>
      </c>
      <c r="B1179" s="6" t="str">
        <f>HYPERLINK("http://data.ntsb.gov/carol-repgen/api/Aviation/ReportMain/GenerateNewestReport/100653/pdf","AccidentReport")</f>
        <v>AccidentReport</v>
      </c>
      <c r="C1179" t="s">
        <v>2626</v>
      </c>
      <c r="D1179" t="s">
        <v>1327</v>
      </c>
      <c r="E1179" t="s">
        <v>192</v>
      </c>
      <c r="F1179" t="s">
        <v>88</v>
      </c>
      <c r="G1179">
        <v>39.878611999999997</v>
      </c>
      <c r="H1179">
        <v>-111.857223</v>
      </c>
      <c r="K1179" t="s">
        <v>89</v>
      </c>
      <c r="L1179">
        <v>1</v>
      </c>
      <c r="M1179" t="s">
        <v>90</v>
      </c>
      <c r="N1179" t="s">
        <v>91</v>
      </c>
      <c r="O1179" t="s">
        <v>92</v>
      </c>
      <c r="S1179" t="s">
        <v>108</v>
      </c>
      <c r="T1179" t="s">
        <v>109</v>
      </c>
      <c r="U1179" t="s">
        <v>95</v>
      </c>
    </row>
    <row r="1180" spans="1:21" x14ac:dyDescent="0.3">
      <c r="A1180" t="s">
        <v>2629</v>
      </c>
      <c r="B1180" s="6" t="str">
        <f>HYPERLINK("http://data.ntsb.gov/carol-repgen/api/Aviation/ReportMain/GenerateNewestReport/100661/pdf","AccidentReport")</f>
        <v>AccidentReport</v>
      </c>
      <c r="C1180" t="s">
        <v>2630</v>
      </c>
      <c r="D1180" t="s">
        <v>2631</v>
      </c>
      <c r="E1180" t="s">
        <v>399</v>
      </c>
      <c r="F1180" t="s">
        <v>88</v>
      </c>
      <c r="G1180">
        <v>38.836112</v>
      </c>
      <c r="H1180">
        <v>-95.181944999999999</v>
      </c>
      <c r="K1180" t="s">
        <v>89</v>
      </c>
      <c r="L1180">
        <v>1</v>
      </c>
      <c r="M1180" t="s">
        <v>90</v>
      </c>
      <c r="N1180" t="s">
        <v>91</v>
      </c>
      <c r="O1180" t="s">
        <v>92</v>
      </c>
      <c r="S1180" t="s">
        <v>93</v>
      </c>
      <c r="T1180" t="s">
        <v>94</v>
      </c>
      <c r="U1180" t="s">
        <v>248</v>
      </c>
    </row>
    <row r="1181" spans="1:21" x14ac:dyDescent="0.3">
      <c r="A1181" t="s">
        <v>2632</v>
      </c>
      <c r="B1181" s="6" t="str">
        <f>HYPERLINK("http://data.ntsb.gov/carol-repgen/api/Aviation/ReportMain/GenerateNewestReport/100686/pdf","AccidentReport")</f>
        <v>AccidentReport</v>
      </c>
      <c r="C1181" t="s">
        <v>2633</v>
      </c>
      <c r="D1181" t="s">
        <v>2634</v>
      </c>
      <c r="E1181" t="s">
        <v>176</v>
      </c>
      <c r="F1181" t="s">
        <v>88</v>
      </c>
      <c r="G1181">
        <v>45.628334000000002</v>
      </c>
      <c r="H1181">
        <v>-122.39833</v>
      </c>
      <c r="K1181" t="s">
        <v>89</v>
      </c>
      <c r="L1181">
        <v>1</v>
      </c>
      <c r="M1181" t="s">
        <v>90</v>
      </c>
      <c r="N1181" t="s">
        <v>91</v>
      </c>
      <c r="O1181" t="s">
        <v>92</v>
      </c>
      <c r="S1181" t="s">
        <v>93</v>
      </c>
      <c r="T1181" t="s">
        <v>411</v>
      </c>
      <c r="U1181" t="s">
        <v>95</v>
      </c>
    </row>
    <row r="1182" spans="1:21" x14ac:dyDescent="0.3">
      <c r="A1182" t="s">
        <v>2635</v>
      </c>
      <c r="B1182" s="6" t="str">
        <f>HYPERLINK("http://data.ntsb.gov/carol-repgen/api/Aviation/ReportMain/GenerateNewestReport/100685/pdf","AccidentReport")</f>
        <v>AccidentReport</v>
      </c>
      <c r="C1182" t="s">
        <v>2633</v>
      </c>
      <c r="D1182" t="s">
        <v>2636</v>
      </c>
      <c r="E1182" t="s">
        <v>125</v>
      </c>
      <c r="F1182" t="s">
        <v>88</v>
      </c>
      <c r="G1182">
        <v>32.901943000000003</v>
      </c>
      <c r="H1182">
        <v>-109.786666</v>
      </c>
      <c r="K1182" t="s">
        <v>155</v>
      </c>
      <c r="L1182">
        <v>1</v>
      </c>
      <c r="M1182" t="s">
        <v>90</v>
      </c>
      <c r="N1182" t="s">
        <v>91</v>
      </c>
      <c r="O1182" t="s">
        <v>92</v>
      </c>
      <c r="S1182" t="s">
        <v>108</v>
      </c>
      <c r="T1182" t="s">
        <v>159</v>
      </c>
      <c r="U1182" t="s">
        <v>186</v>
      </c>
    </row>
    <row r="1183" spans="1:21" x14ac:dyDescent="0.3">
      <c r="A1183" t="s">
        <v>2637</v>
      </c>
      <c r="B1183" s="6" t="str">
        <f>HYPERLINK("http://data.ntsb.gov/carol-repgen/api/Aviation/ReportMain/GenerateNewestReport/100667/pdf","AccidentReport")</f>
        <v>AccidentReport</v>
      </c>
      <c r="C1183" t="s">
        <v>2638</v>
      </c>
      <c r="D1183" t="s">
        <v>2639</v>
      </c>
      <c r="E1183" t="s">
        <v>154</v>
      </c>
      <c r="F1183" t="s">
        <v>88</v>
      </c>
      <c r="G1183">
        <v>29.811665999999999</v>
      </c>
      <c r="H1183">
        <v>-98.426108999999997</v>
      </c>
      <c r="K1183" t="s">
        <v>89</v>
      </c>
      <c r="L1183">
        <v>1</v>
      </c>
      <c r="M1183" t="s">
        <v>90</v>
      </c>
      <c r="N1183" t="s">
        <v>91</v>
      </c>
      <c r="O1183" t="s">
        <v>92</v>
      </c>
      <c r="S1183" t="s">
        <v>108</v>
      </c>
      <c r="T1183" t="s">
        <v>247</v>
      </c>
      <c r="U1183" t="s">
        <v>248</v>
      </c>
    </row>
    <row r="1184" spans="1:21" x14ac:dyDescent="0.3">
      <c r="A1184" t="s">
        <v>2640</v>
      </c>
      <c r="B1184" s="6" t="str">
        <f>HYPERLINK("http://data.ntsb.gov/carol-repgen/api/Aviation/ReportMain/GenerateNewestReport/100664/pdf","AccidentReport")</f>
        <v>AccidentReport</v>
      </c>
      <c r="C1184" t="s">
        <v>2641</v>
      </c>
      <c r="D1184" t="s">
        <v>754</v>
      </c>
      <c r="E1184" t="s">
        <v>485</v>
      </c>
      <c r="F1184" t="s">
        <v>88</v>
      </c>
      <c r="G1184">
        <v>41.194721000000001</v>
      </c>
      <c r="H1184">
        <v>-96.112503000000004</v>
      </c>
      <c r="J1184">
        <v>1</v>
      </c>
      <c r="K1184" t="s">
        <v>99</v>
      </c>
      <c r="L1184">
        <v>1</v>
      </c>
      <c r="M1184" t="s">
        <v>90</v>
      </c>
      <c r="N1184" t="s">
        <v>862</v>
      </c>
      <c r="O1184" t="s">
        <v>92</v>
      </c>
      <c r="S1184" t="s">
        <v>108</v>
      </c>
      <c r="T1184" t="s">
        <v>109</v>
      </c>
      <c r="U1184" t="s">
        <v>95</v>
      </c>
    </row>
    <row r="1185" spans="1:21" x14ac:dyDescent="0.3">
      <c r="A1185" t="s">
        <v>2642</v>
      </c>
      <c r="B1185" s="6" t="str">
        <f>HYPERLINK("http://data.ntsb.gov/carol-repgen/api/Aviation/ReportMain/GenerateNewestReport/100687/pdf","AccidentReport")</f>
        <v>AccidentReport</v>
      </c>
      <c r="C1185" t="s">
        <v>2643</v>
      </c>
      <c r="D1185" t="s">
        <v>2644</v>
      </c>
      <c r="E1185" t="s">
        <v>125</v>
      </c>
      <c r="F1185" t="s">
        <v>88</v>
      </c>
      <c r="G1185">
        <v>34.479441999999999</v>
      </c>
      <c r="H1185">
        <v>-111.989166</v>
      </c>
      <c r="I1185">
        <v>1</v>
      </c>
      <c r="K1185" t="s">
        <v>107</v>
      </c>
      <c r="L1185">
        <v>1</v>
      </c>
      <c r="M1185" t="s">
        <v>147</v>
      </c>
      <c r="N1185" t="s">
        <v>91</v>
      </c>
      <c r="O1185" t="s">
        <v>92</v>
      </c>
      <c r="S1185" t="s">
        <v>108</v>
      </c>
      <c r="T1185" t="s">
        <v>102</v>
      </c>
      <c r="U1185" t="s">
        <v>186</v>
      </c>
    </row>
    <row r="1186" spans="1:21" x14ac:dyDescent="0.3">
      <c r="A1186" t="s">
        <v>2645</v>
      </c>
      <c r="B1186" s="6" t="str">
        <f>HYPERLINK("http://data.ntsb.gov/carol-repgen/api/Aviation/ReportMain/GenerateNewestReport/100670/pdf","AccidentReport")</f>
        <v>AccidentReport</v>
      </c>
      <c r="C1186" t="s">
        <v>2643</v>
      </c>
      <c r="D1186" t="s">
        <v>2646</v>
      </c>
      <c r="E1186" t="s">
        <v>457</v>
      </c>
      <c r="F1186" t="s">
        <v>88</v>
      </c>
      <c r="G1186">
        <v>36.984164999999997</v>
      </c>
      <c r="H1186">
        <v>-91.955557999999996</v>
      </c>
      <c r="K1186" t="s">
        <v>155</v>
      </c>
      <c r="L1186">
        <v>1</v>
      </c>
      <c r="M1186" t="s">
        <v>90</v>
      </c>
      <c r="N1186" t="s">
        <v>91</v>
      </c>
      <c r="O1186" t="s">
        <v>92</v>
      </c>
      <c r="S1186" t="s">
        <v>108</v>
      </c>
      <c r="T1186" t="s">
        <v>159</v>
      </c>
      <c r="U1186" t="s">
        <v>150</v>
      </c>
    </row>
    <row r="1187" spans="1:21" x14ac:dyDescent="0.3">
      <c r="A1187" t="s">
        <v>2647</v>
      </c>
      <c r="B1187" s="6" t="str">
        <f>HYPERLINK("http://data.ntsb.gov/carol-repgen/api/Aviation/ReportMain/GenerateNewestReport/100673/pdf","AccidentReport")</f>
        <v>AccidentReport</v>
      </c>
      <c r="C1187" t="s">
        <v>2643</v>
      </c>
      <c r="D1187" t="s">
        <v>2648</v>
      </c>
      <c r="E1187" t="s">
        <v>2649</v>
      </c>
      <c r="F1187" t="s">
        <v>88</v>
      </c>
      <c r="G1187">
        <v>18.240832999999999</v>
      </c>
      <c r="H1187">
        <v>-65.696944999999999</v>
      </c>
      <c r="J1187">
        <v>1</v>
      </c>
      <c r="K1187" t="s">
        <v>99</v>
      </c>
      <c r="L1187">
        <v>1</v>
      </c>
      <c r="M1187" t="s">
        <v>90</v>
      </c>
      <c r="N1187" t="s">
        <v>862</v>
      </c>
      <c r="O1187" t="s">
        <v>92</v>
      </c>
      <c r="S1187" t="s">
        <v>108</v>
      </c>
      <c r="T1187" t="s">
        <v>139</v>
      </c>
      <c r="U1187" t="s">
        <v>186</v>
      </c>
    </row>
    <row r="1188" spans="1:21" x14ac:dyDescent="0.3">
      <c r="A1188" t="s">
        <v>2650</v>
      </c>
      <c r="B1188" s="6" t="str">
        <f>HYPERLINK("http://data.ntsb.gov/carol-repgen/api/Aviation/ReportMain/GenerateNewestReport/100681/pdf","AccidentReport")</f>
        <v>AccidentReport</v>
      </c>
      <c r="C1188" t="s">
        <v>2651</v>
      </c>
      <c r="D1188" t="s">
        <v>424</v>
      </c>
      <c r="E1188" t="s">
        <v>260</v>
      </c>
      <c r="F1188" t="s">
        <v>88</v>
      </c>
      <c r="G1188">
        <v>38.230834000000002</v>
      </c>
      <c r="H1188">
        <v>-85.657775000000001</v>
      </c>
      <c r="K1188" t="s">
        <v>89</v>
      </c>
      <c r="L1188">
        <v>1</v>
      </c>
      <c r="M1188" t="s">
        <v>90</v>
      </c>
      <c r="N1188" t="s">
        <v>91</v>
      </c>
      <c r="O1188" t="s">
        <v>92</v>
      </c>
      <c r="S1188" t="s">
        <v>108</v>
      </c>
      <c r="T1188" t="s">
        <v>109</v>
      </c>
      <c r="U1188" t="s">
        <v>95</v>
      </c>
    </row>
    <row r="1189" spans="1:21" x14ac:dyDescent="0.3">
      <c r="A1189" t="s">
        <v>2652</v>
      </c>
      <c r="B1189" s="6" t="str">
        <f>HYPERLINK("http://data.ntsb.gov/carol-repgen/api/Aviation/ReportMain/GenerateNewestReport/100682/pdf","AccidentReport")</f>
        <v>AccidentReport</v>
      </c>
      <c r="C1189" t="s">
        <v>2653</v>
      </c>
      <c r="D1189" t="s">
        <v>1264</v>
      </c>
      <c r="E1189" t="s">
        <v>125</v>
      </c>
      <c r="F1189" t="s">
        <v>88</v>
      </c>
      <c r="G1189">
        <v>33.683611999999997</v>
      </c>
      <c r="H1189">
        <v>-112.110275</v>
      </c>
      <c r="K1189" t="s">
        <v>89</v>
      </c>
      <c r="L1189">
        <v>1</v>
      </c>
      <c r="M1189" t="s">
        <v>90</v>
      </c>
      <c r="N1189" t="s">
        <v>91</v>
      </c>
      <c r="O1189" t="s">
        <v>92</v>
      </c>
      <c r="S1189" t="s">
        <v>108</v>
      </c>
      <c r="T1189" t="s">
        <v>159</v>
      </c>
      <c r="U1189" t="s">
        <v>119</v>
      </c>
    </row>
    <row r="1190" spans="1:21" x14ac:dyDescent="0.3">
      <c r="A1190" t="s">
        <v>2654</v>
      </c>
      <c r="B1190" s="6" t="str">
        <f>HYPERLINK("http://data.ntsb.gov/carol-repgen/api/Aviation/ReportMain/GenerateNewestReport/100683/pdf","AccidentReport")</f>
        <v>AccidentReport</v>
      </c>
      <c r="C1190" t="s">
        <v>2653</v>
      </c>
      <c r="D1190" t="s">
        <v>2655</v>
      </c>
      <c r="E1190" t="s">
        <v>192</v>
      </c>
      <c r="F1190" t="s">
        <v>88</v>
      </c>
      <c r="G1190">
        <v>40.483055</v>
      </c>
      <c r="H1190">
        <v>-111.940551</v>
      </c>
      <c r="K1190" t="s">
        <v>155</v>
      </c>
      <c r="L1190">
        <v>1</v>
      </c>
      <c r="M1190" t="s">
        <v>90</v>
      </c>
      <c r="N1190" t="s">
        <v>100</v>
      </c>
      <c r="O1190" t="s">
        <v>92</v>
      </c>
      <c r="S1190" t="s">
        <v>108</v>
      </c>
      <c r="T1190" t="s">
        <v>109</v>
      </c>
      <c r="U1190" t="s">
        <v>95</v>
      </c>
    </row>
    <row r="1191" spans="1:21" x14ac:dyDescent="0.3">
      <c r="A1191" t="s">
        <v>2656</v>
      </c>
      <c r="B1191" s="6" t="str">
        <f>HYPERLINK("http://data.ntsb.gov/carol-repgen/api/Aviation/ReportMain/GenerateNewestReport/100689/pdf","AccidentReport")</f>
        <v>AccidentReport</v>
      </c>
      <c r="C1191" t="s">
        <v>2657</v>
      </c>
      <c r="D1191" t="s">
        <v>2266</v>
      </c>
      <c r="E1191" t="s">
        <v>106</v>
      </c>
      <c r="F1191" t="s">
        <v>88</v>
      </c>
      <c r="G1191">
        <v>33.146388999999999</v>
      </c>
      <c r="H1191">
        <v>-117.33360999999999</v>
      </c>
      <c r="K1191" t="s">
        <v>89</v>
      </c>
      <c r="L1191">
        <v>1</v>
      </c>
      <c r="M1191" t="s">
        <v>90</v>
      </c>
      <c r="N1191" t="s">
        <v>91</v>
      </c>
      <c r="O1191" t="s">
        <v>92</v>
      </c>
      <c r="S1191" t="s">
        <v>108</v>
      </c>
      <c r="T1191" t="s">
        <v>159</v>
      </c>
      <c r="U1191" t="s">
        <v>186</v>
      </c>
    </row>
    <row r="1192" spans="1:21" x14ac:dyDescent="0.3">
      <c r="A1192" t="s">
        <v>2658</v>
      </c>
      <c r="B1192" s="6" t="str">
        <f>HYPERLINK("http://data.ntsb.gov/carol-repgen/api/Aviation/ReportMain/GenerateNewestReport/100692/pdf","AccidentReport")</f>
        <v>AccidentReport</v>
      </c>
      <c r="C1192" t="s">
        <v>2659</v>
      </c>
      <c r="D1192" t="s">
        <v>1135</v>
      </c>
      <c r="E1192" t="s">
        <v>154</v>
      </c>
      <c r="F1192" t="s">
        <v>88</v>
      </c>
      <c r="G1192">
        <v>29.377776999999998</v>
      </c>
      <c r="H1192">
        <v>-98.476387000000003</v>
      </c>
      <c r="I1192">
        <v>0</v>
      </c>
      <c r="J1192">
        <v>0</v>
      </c>
      <c r="K1192" t="s">
        <v>155</v>
      </c>
      <c r="L1192">
        <v>1</v>
      </c>
      <c r="M1192" t="s">
        <v>90</v>
      </c>
      <c r="N1192" t="s">
        <v>100</v>
      </c>
      <c r="O1192" t="s">
        <v>92</v>
      </c>
      <c r="S1192" t="s">
        <v>170</v>
      </c>
      <c r="T1192" t="s">
        <v>159</v>
      </c>
      <c r="U1192" t="s">
        <v>186</v>
      </c>
    </row>
    <row r="1193" spans="1:21" x14ac:dyDescent="0.3">
      <c r="A1193" t="s">
        <v>2660</v>
      </c>
      <c r="B1193" s="6" t="str">
        <f>HYPERLINK("http://data.ntsb.gov/carol-repgen/api/Aviation/ReportMain/GenerateNewestReport/100735/pdf","AccidentReport")</f>
        <v>AccidentReport</v>
      </c>
      <c r="C1193" t="s">
        <v>2659</v>
      </c>
      <c r="D1193" t="s">
        <v>2661</v>
      </c>
      <c r="E1193" t="s">
        <v>128</v>
      </c>
      <c r="F1193" t="s">
        <v>88</v>
      </c>
      <c r="G1193">
        <v>32.316943999999999</v>
      </c>
      <c r="H1193">
        <v>-106.774719</v>
      </c>
      <c r="K1193" t="s">
        <v>155</v>
      </c>
      <c r="L1193">
        <v>1</v>
      </c>
      <c r="M1193" t="s">
        <v>90</v>
      </c>
      <c r="N1193" t="s">
        <v>670</v>
      </c>
      <c r="O1193" t="s">
        <v>92</v>
      </c>
      <c r="S1193" t="s">
        <v>108</v>
      </c>
      <c r="T1193" t="s">
        <v>411</v>
      </c>
      <c r="U1193" t="s">
        <v>248</v>
      </c>
    </row>
    <row r="1194" spans="1:21" x14ac:dyDescent="0.3">
      <c r="A1194" t="s">
        <v>2662</v>
      </c>
      <c r="B1194" s="6" t="str">
        <f>HYPERLINK("http://data.ntsb.gov/carol-repgen/api/Aviation/ReportMain/GenerateNewestReport/100807/pdf","AccidentReport")</f>
        <v>AccidentReport</v>
      </c>
      <c r="C1194" t="s">
        <v>2663</v>
      </c>
      <c r="D1194" t="s">
        <v>2664</v>
      </c>
      <c r="F1194" t="s">
        <v>2665</v>
      </c>
      <c r="G1194">
        <v>35.741110999999997</v>
      </c>
      <c r="H1194">
        <v>139.346664</v>
      </c>
      <c r="K1194" t="s">
        <v>89</v>
      </c>
      <c r="L1194">
        <v>1</v>
      </c>
      <c r="M1194" t="s">
        <v>90</v>
      </c>
      <c r="N1194" t="s">
        <v>91</v>
      </c>
      <c r="O1194" t="s">
        <v>92</v>
      </c>
      <c r="S1194" t="s">
        <v>93</v>
      </c>
      <c r="T1194" t="s">
        <v>769</v>
      </c>
      <c r="U1194" t="s">
        <v>221</v>
      </c>
    </row>
    <row r="1195" spans="1:21" x14ac:dyDescent="0.3">
      <c r="A1195" t="s">
        <v>2666</v>
      </c>
      <c r="B1195" s="6" t="str">
        <f>HYPERLINK("http://data.ntsb.gov/carol-repgen/api/Aviation/ReportMain/GenerateNewestReport/100693/pdf","AccidentReport")</f>
        <v>AccidentReport</v>
      </c>
      <c r="C1195" t="s">
        <v>2663</v>
      </c>
      <c r="D1195" t="s">
        <v>2667</v>
      </c>
      <c r="E1195" t="s">
        <v>265</v>
      </c>
      <c r="F1195" t="s">
        <v>88</v>
      </c>
      <c r="G1195">
        <v>38.656112</v>
      </c>
      <c r="H1195">
        <v>-78.708609999999993</v>
      </c>
      <c r="K1195" t="s">
        <v>89</v>
      </c>
      <c r="L1195">
        <v>1</v>
      </c>
      <c r="M1195" t="s">
        <v>90</v>
      </c>
      <c r="N1195" t="s">
        <v>91</v>
      </c>
      <c r="O1195" t="s">
        <v>92</v>
      </c>
      <c r="S1195" t="s">
        <v>166</v>
      </c>
      <c r="T1195" t="s">
        <v>109</v>
      </c>
      <c r="U1195" t="s">
        <v>95</v>
      </c>
    </row>
    <row r="1196" spans="1:21" x14ac:dyDescent="0.3">
      <c r="A1196" t="s">
        <v>2668</v>
      </c>
      <c r="B1196" s="6" t="str">
        <f>HYPERLINK("http://data.ntsb.gov/carol-repgen/api/Aviation/ReportMain/GenerateNewestReport/101121/pdf","AccidentReport")</f>
        <v>AccidentReport</v>
      </c>
      <c r="C1196" t="s">
        <v>2669</v>
      </c>
      <c r="D1196" t="s">
        <v>2670</v>
      </c>
      <c r="E1196" t="s">
        <v>98</v>
      </c>
      <c r="F1196" t="s">
        <v>88</v>
      </c>
      <c r="G1196">
        <v>28.254999000000002</v>
      </c>
      <c r="H1196">
        <v>-81.791945999999996</v>
      </c>
      <c r="J1196">
        <v>1</v>
      </c>
      <c r="K1196" t="s">
        <v>99</v>
      </c>
      <c r="L1196">
        <v>1</v>
      </c>
      <c r="M1196" t="s">
        <v>89</v>
      </c>
      <c r="N1196" t="s">
        <v>670</v>
      </c>
      <c r="O1196" t="s">
        <v>92</v>
      </c>
      <c r="S1196" t="s">
        <v>173</v>
      </c>
      <c r="T1196" t="s">
        <v>109</v>
      </c>
      <c r="U1196" t="s">
        <v>95</v>
      </c>
    </row>
    <row r="1197" spans="1:21" x14ac:dyDescent="0.3">
      <c r="A1197" t="s">
        <v>2671</v>
      </c>
      <c r="B1197" s="6" t="str">
        <f>HYPERLINK("http://data.ntsb.gov/carol-repgen/api/Aviation/ReportMain/GenerateNewestReport/100695/pdf","AccidentReport")</f>
        <v>AccidentReport</v>
      </c>
      <c r="C1197" t="s">
        <v>2669</v>
      </c>
      <c r="D1197" t="s">
        <v>2002</v>
      </c>
      <c r="E1197" t="s">
        <v>122</v>
      </c>
      <c r="F1197" t="s">
        <v>88</v>
      </c>
      <c r="G1197">
        <v>43.580001000000003</v>
      </c>
      <c r="H1197">
        <v>-116.51999600000001</v>
      </c>
      <c r="K1197" t="s">
        <v>89</v>
      </c>
      <c r="L1197">
        <v>1</v>
      </c>
      <c r="M1197" t="s">
        <v>90</v>
      </c>
      <c r="N1197" t="s">
        <v>91</v>
      </c>
      <c r="O1197" t="s">
        <v>92</v>
      </c>
      <c r="S1197" t="s">
        <v>108</v>
      </c>
      <c r="T1197" t="s">
        <v>411</v>
      </c>
      <c r="U1197" t="s">
        <v>95</v>
      </c>
    </row>
    <row r="1198" spans="1:21" x14ac:dyDescent="0.3">
      <c r="A1198" t="s">
        <v>2672</v>
      </c>
      <c r="B1198" s="6" t="str">
        <f>HYPERLINK("http://data.ntsb.gov/carol-repgen/api/Aviation/ReportMain/GenerateNewestReport/100697/pdf","AccidentReport")</f>
        <v>AccidentReport</v>
      </c>
      <c r="C1198" t="s">
        <v>2669</v>
      </c>
      <c r="D1198" t="s">
        <v>695</v>
      </c>
      <c r="E1198" t="s">
        <v>106</v>
      </c>
      <c r="F1198" t="s">
        <v>88</v>
      </c>
      <c r="G1198">
        <v>34.738608999999997</v>
      </c>
      <c r="H1198">
        <v>-118.216392</v>
      </c>
      <c r="K1198" t="s">
        <v>155</v>
      </c>
      <c r="L1198">
        <v>1</v>
      </c>
      <c r="M1198" t="s">
        <v>90</v>
      </c>
      <c r="N1198" t="s">
        <v>91</v>
      </c>
      <c r="O1198" t="s">
        <v>92</v>
      </c>
      <c r="S1198" t="s">
        <v>93</v>
      </c>
      <c r="T1198" t="s">
        <v>94</v>
      </c>
      <c r="U1198" t="s">
        <v>221</v>
      </c>
    </row>
    <row r="1199" spans="1:21" x14ac:dyDescent="0.3">
      <c r="A1199" t="s">
        <v>2673</v>
      </c>
      <c r="B1199" s="6" t="str">
        <f>HYPERLINK("http://data.ntsb.gov/carol-repgen/api/Aviation/ReportMain/GenerateNewestReport/100701/pdf","AccidentReport")</f>
        <v>AccidentReport</v>
      </c>
      <c r="C1199" t="s">
        <v>2674</v>
      </c>
      <c r="D1199" t="s">
        <v>2675</v>
      </c>
      <c r="E1199" t="s">
        <v>106</v>
      </c>
      <c r="F1199" t="s">
        <v>88</v>
      </c>
      <c r="G1199">
        <v>36.325000000000003</v>
      </c>
      <c r="H1199">
        <v>-119.398887</v>
      </c>
      <c r="K1199" t="s">
        <v>89</v>
      </c>
      <c r="L1199">
        <v>1</v>
      </c>
      <c r="M1199" t="s">
        <v>90</v>
      </c>
      <c r="N1199" t="s">
        <v>91</v>
      </c>
      <c r="O1199" t="s">
        <v>92</v>
      </c>
      <c r="S1199" t="s">
        <v>108</v>
      </c>
      <c r="T1199" t="s">
        <v>220</v>
      </c>
      <c r="U1199" t="s">
        <v>221</v>
      </c>
    </row>
    <row r="1200" spans="1:21" x14ac:dyDescent="0.3">
      <c r="A1200" t="s">
        <v>2673</v>
      </c>
      <c r="B1200" s="6" t="str">
        <f>HYPERLINK("http://data.ntsb.gov/carol-repgen/api/Aviation/ReportMain/GenerateNewestReport/100701/pdf","AccidentReport")</f>
        <v>AccidentReport</v>
      </c>
      <c r="C1200" t="s">
        <v>2674</v>
      </c>
      <c r="D1200" t="s">
        <v>2675</v>
      </c>
      <c r="E1200" t="s">
        <v>106</v>
      </c>
      <c r="F1200" t="s">
        <v>88</v>
      </c>
      <c r="G1200">
        <v>36.325000000000003</v>
      </c>
      <c r="H1200">
        <v>-119.398887</v>
      </c>
      <c r="K1200" t="s">
        <v>89</v>
      </c>
      <c r="L1200">
        <v>2</v>
      </c>
      <c r="M1200" t="s">
        <v>155</v>
      </c>
      <c r="N1200" t="s">
        <v>91</v>
      </c>
      <c r="O1200" t="s">
        <v>92</v>
      </c>
      <c r="S1200" t="s">
        <v>108</v>
      </c>
      <c r="T1200" t="s">
        <v>220</v>
      </c>
      <c r="U1200" t="s">
        <v>221</v>
      </c>
    </row>
    <row r="1201" spans="1:21" x14ac:dyDescent="0.3">
      <c r="A1201" t="s">
        <v>2676</v>
      </c>
      <c r="B1201" s="6" t="str">
        <f>HYPERLINK("http://data.ntsb.gov/carol-repgen/api/Aviation/ReportMain/GenerateNewestReport/100710/pdf","AccidentReport")</f>
        <v>AccidentReport</v>
      </c>
      <c r="C1201" t="s">
        <v>2677</v>
      </c>
      <c r="D1201" t="s">
        <v>2678</v>
      </c>
      <c r="E1201" t="s">
        <v>641</v>
      </c>
      <c r="F1201" t="s">
        <v>88</v>
      </c>
      <c r="G1201">
        <v>33.393889999999999</v>
      </c>
      <c r="H1201">
        <v>-88.852774999999994</v>
      </c>
      <c r="K1201" t="s">
        <v>155</v>
      </c>
      <c r="L1201">
        <v>1</v>
      </c>
      <c r="M1201" t="s">
        <v>90</v>
      </c>
      <c r="N1201" t="s">
        <v>91</v>
      </c>
      <c r="O1201" t="s">
        <v>92</v>
      </c>
      <c r="S1201" t="s">
        <v>108</v>
      </c>
      <c r="T1201" t="s">
        <v>118</v>
      </c>
      <c r="U1201" t="s">
        <v>186</v>
      </c>
    </row>
    <row r="1202" spans="1:21" x14ac:dyDescent="0.3">
      <c r="A1202" t="s">
        <v>2679</v>
      </c>
      <c r="B1202" s="6" t="str">
        <f>HYPERLINK("http://data.ntsb.gov/carol-repgen/api/Aviation/ReportMain/GenerateNewestReport/100724/pdf","AccidentReport")</f>
        <v>AccidentReport</v>
      </c>
      <c r="C1202" t="s">
        <v>2677</v>
      </c>
      <c r="D1202" t="s">
        <v>2680</v>
      </c>
      <c r="E1202" t="s">
        <v>142</v>
      </c>
      <c r="F1202" t="s">
        <v>88</v>
      </c>
      <c r="G1202">
        <v>39.259166</v>
      </c>
      <c r="H1202">
        <v>-84.774444000000003</v>
      </c>
      <c r="K1202" t="s">
        <v>89</v>
      </c>
      <c r="L1202">
        <v>1</v>
      </c>
      <c r="M1202" t="s">
        <v>90</v>
      </c>
      <c r="N1202" t="s">
        <v>91</v>
      </c>
      <c r="O1202" t="s">
        <v>92</v>
      </c>
      <c r="S1202" t="s">
        <v>93</v>
      </c>
      <c r="T1202" t="s">
        <v>118</v>
      </c>
      <c r="U1202" t="s">
        <v>119</v>
      </c>
    </row>
    <row r="1203" spans="1:21" x14ac:dyDescent="0.3">
      <c r="A1203" t="s">
        <v>2681</v>
      </c>
      <c r="B1203" s="6" t="str">
        <f>HYPERLINK("http://data.ntsb.gov/carol-repgen/api/Aviation/ReportMain/GenerateNewestReport/100708/pdf","AccidentReport")</f>
        <v>AccidentReport</v>
      </c>
      <c r="C1203" t="s">
        <v>2677</v>
      </c>
      <c r="D1203" t="s">
        <v>1390</v>
      </c>
      <c r="E1203" t="s">
        <v>122</v>
      </c>
      <c r="F1203" t="s">
        <v>88</v>
      </c>
      <c r="G1203">
        <v>43.643889999999999</v>
      </c>
      <c r="H1203">
        <v>-116.63694700000001</v>
      </c>
      <c r="K1203" t="s">
        <v>89</v>
      </c>
      <c r="L1203">
        <v>1</v>
      </c>
      <c r="M1203" t="s">
        <v>90</v>
      </c>
      <c r="N1203" t="s">
        <v>91</v>
      </c>
      <c r="O1203" t="s">
        <v>92</v>
      </c>
      <c r="S1203" t="s">
        <v>108</v>
      </c>
      <c r="T1203" t="s">
        <v>94</v>
      </c>
      <c r="U1203" t="s">
        <v>95</v>
      </c>
    </row>
    <row r="1204" spans="1:21" x14ac:dyDescent="0.3">
      <c r="A1204" t="s">
        <v>2682</v>
      </c>
      <c r="B1204" s="6" t="str">
        <f>HYPERLINK("http://data.ntsb.gov/carol-repgen/api/Aviation/ReportMain/GenerateNewestReport/100712/pdf","AccidentReport")</f>
        <v>AccidentReport</v>
      </c>
      <c r="C1204" t="s">
        <v>2683</v>
      </c>
      <c r="D1204" t="s">
        <v>1344</v>
      </c>
      <c r="E1204" t="s">
        <v>154</v>
      </c>
      <c r="F1204" t="s">
        <v>88</v>
      </c>
      <c r="G1204">
        <v>28.3675</v>
      </c>
      <c r="H1204">
        <v>-97.796385999999998</v>
      </c>
      <c r="K1204" t="s">
        <v>89</v>
      </c>
      <c r="L1204">
        <v>1</v>
      </c>
      <c r="M1204" t="s">
        <v>90</v>
      </c>
      <c r="N1204" t="s">
        <v>100</v>
      </c>
      <c r="O1204" t="s">
        <v>92</v>
      </c>
      <c r="S1204" t="s">
        <v>93</v>
      </c>
      <c r="T1204" t="s">
        <v>102</v>
      </c>
      <c r="U1204" t="s">
        <v>248</v>
      </c>
    </row>
    <row r="1205" spans="1:21" x14ac:dyDescent="0.3">
      <c r="A1205" t="s">
        <v>2684</v>
      </c>
      <c r="B1205" s="6" t="str">
        <f>HYPERLINK("http://data.ntsb.gov/carol-repgen/api/Aviation/ReportMain/GenerateNewestReport/101472/pdf","AccidentReport")</f>
        <v>AccidentReport</v>
      </c>
      <c r="C1205" t="s">
        <v>2683</v>
      </c>
      <c r="D1205" t="s">
        <v>2685</v>
      </c>
      <c r="F1205" t="s">
        <v>2686</v>
      </c>
      <c r="G1205">
        <v>-35.897776999999998</v>
      </c>
      <c r="H1205">
        <v>150.14443900000001</v>
      </c>
      <c r="J1205">
        <v>1</v>
      </c>
      <c r="K1205" t="s">
        <v>99</v>
      </c>
      <c r="L1205">
        <v>1</v>
      </c>
      <c r="M1205" t="s">
        <v>90</v>
      </c>
      <c r="N1205" t="s">
        <v>91</v>
      </c>
      <c r="O1205" t="s">
        <v>240</v>
      </c>
      <c r="S1205" t="s">
        <v>108</v>
      </c>
      <c r="T1205" t="s">
        <v>159</v>
      </c>
      <c r="U1205" t="s">
        <v>186</v>
      </c>
    </row>
    <row r="1206" spans="1:21" x14ac:dyDescent="0.3">
      <c r="A1206" t="s">
        <v>2687</v>
      </c>
      <c r="B1206" s="6" t="str">
        <f>HYPERLINK("http://data.ntsb.gov/carol-repgen/api/Aviation/ReportMain/GenerateNewestReport/100878/pdf","AccidentReport")</f>
        <v>AccidentReport</v>
      </c>
      <c r="C1206" t="s">
        <v>2683</v>
      </c>
      <c r="D1206" t="s">
        <v>2688</v>
      </c>
      <c r="E1206" t="s">
        <v>146</v>
      </c>
      <c r="F1206" t="s">
        <v>88</v>
      </c>
      <c r="G1206">
        <v>35.181666999999997</v>
      </c>
      <c r="H1206">
        <v>-89.103888999999995</v>
      </c>
      <c r="K1206" t="s">
        <v>89</v>
      </c>
      <c r="L1206">
        <v>1</v>
      </c>
      <c r="M1206" t="s">
        <v>90</v>
      </c>
      <c r="N1206" t="s">
        <v>91</v>
      </c>
      <c r="O1206" t="s">
        <v>92</v>
      </c>
      <c r="S1206" t="s">
        <v>108</v>
      </c>
      <c r="T1206" t="s">
        <v>118</v>
      </c>
      <c r="U1206" t="s">
        <v>186</v>
      </c>
    </row>
    <row r="1207" spans="1:21" x14ac:dyDescent="0.3">
      <c r="A1207" t="s">
        <v>2689</v>
      </c>
      <c r="B1207" s="6" t="str">
        <f>HYPERLINK("http://data.ntsb.gov/carol-repgen/api/Aviation/ReportMain/GenerateNewestReport/100720/pdf","AccidentReport")</f>
        <v>AccidentReport</v>
      </c>
      <c r="C1207" t="s">
        <v>2690</v>
      </c>
      <c r="D1207" t="s">
        <v>1900</v>
      </c>
      <c r="E1207" t="s">
        <v>142</v>
      </c>
      <c r="F1207" t="s">
        <v>88</v>
      </c>
      <c r="G1207">
        <v>40.279724000000002</v>
      </c>
      <c r="H1207">
        <v>-83.114722999999998</v>
      </c>
      <c r="K1207" t="s">
        <v>155</v>
      </c>
      <c r="L1207">
        <v>1</v>
      </c>
      <c r="M1207" t="s">
        <v>90</v>
      </c>
      <c r="N1207" t="s">
        <v>91</v>
      </c>
      <c r="O1207" t="s">
        <v>92</v>
      </c>
      <c r="S1207" t="s">
        <v>93</v>
      </c>
      <c r="T1207" t="s">
        <v>102</v>
      </c>
      <c r="U1207" t="s">
        <v>248</v>
      </c>
    </row>
    <row r="1208" spans="1:21" x14ac:dyDescent="0.3">
      <c r="A1208" t="s">
        <v>2691</v>
      </c>
      <c r="B1208" s="6" t="str">
        <f>HYPERLINK("http://data.ntsb.gov/carol-repgen/api/Aviation/ReportMain/GenerateNewestReport/100730/pdf","AccidentReport")</f>
        <v>AccidentReport</v>
      </c>
      <c r="C1208" t="s">
        <v>2690</v>
      </c>
      <c r="D1208" t="s">
        <v>98</v>
      </c>
      <c r="E1208" t="s">
        <v>408</v>
      </c>
      <c r="F1208" t="s">
        <v>88</v>
      </c>
      <c r="G1208">
        <v>42.663055</v>
      </c>
      <c r="H1208">
        <v>-73.017218999999997</v>
      </c>
      <c r="I1208">
        <v>0</v>
      </c>
      <c r="J1208">
        <v>0</v>
      </c>
      <c r="K1208" t="s">
        <v>155</v>
      </c>
      <c r="L1208">
        <v>1</v>
      </c>
      <c r="M1208" t="s">
        <v>90</v>
      </c>
      <c r="N1208" t="s">
        <v>91</v>
      </c>
      <c r="O1208" t="s">
        <v>92</v>
      </c>
      <c r="S1208" t="s">
        <v>108</v>
      </c>
      <c r="T1208" t="s">
        <v>159</v>
      </c>
      <c r="U1208" t="s">
        <v>186</v>
      </c>
    </row>
    <row r="1209" spans="1:21" x14ac:dyDescent="0.3">
      <c r="A1209" t="s">
        <v>2692</v>
      </c>
      <c r="B1209" s="6" t="str">
        <f>HYPERLINK("http://data.ntsb.gov/carol-repgen/api/Aviation/ReportMain/GenerateNewestReport/100716/pdf","AccidentReport")</f>
        <v>AccidentReport</v>
      </c>
      <c r="C1209" t="s">
        <v>2693</v>
      </c>
      <c r="D1209" t="s">
        <v>2694</v>
      </c>
      <c r="E1209" t="s">
        <v>349</v>
      </c>
      <c r="F1209" t="s">
        <v>88</v>
      </c>
      <c r="G1209">
        <v>38.095832000000001</v>
      </c>
      <c r="H1209">
        <v>-87.540557000000007</v>
      </c>
      <c r="I1209">
        <v>1</v>
      </c>
      <c r="K1209" t="s">
        <v>107</v>
      </c>
      <c r="L1209">
        <v>1</v>
      </c>
      <c r="M1209" t="s">
        <v>147</v>
      </c>
      <c r="N1209" t="s">
        <v>91</v>
      </c>
      <c r="O1209" t="s">
        <v>92</v>
      </c>
      <c r="S1209" t="s">
        <v>108</v>
      </c>
      <c r="T1209" t="s">
        <v>102</v>
      </c>
      <c r="U1209" t="s">
        <v>119</v>
      </c>
    </row>
    <row r="1210" spans="1:21" x14ac:dyDescent="0.3">
      <c r="A1210" t="s">
        <v>2695</v>
      </c>
      <c r="B1210" s="6" t="str">
        <f>HYPERLINK("http://data.ntsb.gov/carol-repgen/api/Aviation/ReportMain/GenerateNewestReport/100723/pdf","AccidentReport")</f>
        <v>AccidentReport</v>
      </c>
      <c r="C1210" t="s">
        <v>2693</v>
      </c>
      <c r="D1210" t="s">
        <v>2696</v>
      </c>
      <c r="E1210" t="s">
        <v>87</v>
      </c>
      <c r="F1210" t="s">
        <v>88</v>
      </c>
      <c r="G1210">
        <v>45.697223000000001</v>
      </c>
      <c r="H1210">
        <v>-92.952224000000001</v>
      </c>
      <c r="K1210" t="s">
        <v>89</v>
      </c>
      <c r="L1210">
        <v>1</v>
      </c>
      <c r="M1210" t="s">
        <v>90</v>
      </c>
      <c r="N1210" t="s">
        <v>91</v>
      </c>
      <c r="O1210" t="s">
        <v>92</v>
      </c>
      <c r="S1210" t="s">
        <v>93</v>
      </c>
      <c r="T1210" t="s">
        <v>159</v>
      </c>
      <c r="U1210" t="s">
        <v>248</v>
      </c>
    </row>
    <row r="1211" spans="1:21" x14ac:dyDescent="0.3">
      <c r="A1211" t="s">
        <v>2697</v>
      </c>
      <c r="B1211" s="6" t="str">
        <f>HYPERLINK("http://data.ntsb.gov/carol-repgen/api/Aviation/ReportMain/GenerateNewestReport/100731/pdf","AccidentReport")</f>
        <v>AccidentReport</v>
      </c>
      <c r="C1211" t="s">
        <v>2693</v>
      </c>
      <c r="D1211" t="s">
        <v>1378</v>
      </c>
      <c r="E1211" t="s">
        <v>98</v>
      </c>
      <c r="F1211" t="s">
        <v>88</v>
      </c>
      <c r="G1211">
        <v>29.651665999999999</v>
      </c>
      <c r="H1211">
        <v>-82.324164999999994</v>
      </c>
      <c r="K1211" t="s">
        <v>155</v>
      </c>
      <c r="L1211">
        <v>1</v>
      </c>
      <c r="M1211" t="s">
        <v>90</v>
      </c>
      <c r="N1211" t="s">
        <v>91</v>
      </c>
      <c r="O1211" t="s">
        <v>92</v>
      </c>
      <c r="S1211" t="s">
        <v>108</v>
      </c>
      <c r="T1211" t="s">
        <v>542</v>
      </c>
      <c r="U1211" t="s">
        <v>150</v>
      </c>
    </row>
    <row r="1212" spans="1:21" x14ac:dyDescent="0.3">
      <c r="A1212" t="s">
        <v>2698</v>
      </c>
      <c r="B1212" s="6" t="str">
        <f>HYPERLINK("http://data.ntsb.gov/carol-repgen/api/Aviation/ReportMain/GenerateNewestReport/100718/pdf","AccidentReport")</f>
        <v>AccidentReport</v>
      </c>
      <c r="C1212" t="s">
        <v>2693</v>
      </c>
      <c r="D1212" t="s">
        <v>2699</v>
      </c>
      <c r="E1212" t="s">
        <v>125</v>
      </c>
      <c r="F1212" t="s">
        <v>88</v>
      </c>
      <c r="G1212">
        <v>33.397219999999997</v>
      </c>
      <c r="H1212">
        <v>-112.39833</v>
      </c>
      <c r="I1212">
        <v>1</v>
      </c>
      <c r="K1212" t="s">
        <v>107</v>
      </c>
      <c r="L1212">
        <v>1</v>
      </c>
      <c r="M1212" t="s">
        <v>90</v>
      </c>
      <c r="N1212" t="s">
        <v>91</v>
      </c>
      <c r="O1212" t="s">
        <v>92</v>
      </c>
      <c r="S1212" t="s">
        <v>108</v>
      </c>
      <c r="T1212" t="s">
        <v>321</v>
      </c>
      <c r="U1212" t="s">
        <v>119</v>
      </c>
    </row>
    <row r="1213" spans="1:21" x14ac:dyDescent="0.3">
      <c r="A1213" t="s">
        <v>2700</v>
      </c>
      <c r="B1213" s="6" t="str">
        <f>HYPERLINK("http://data.ntsb.gov/carol-repgen/api/Aviation/ReportMain/GenerateNewestReport/100732/pdf","AccidentReport")</f>
        <v>AccidentReport</v>
      </c>
      <c r="C1213" t="s">
        <v>2701</v>
      </c>
      <c r="D1213" t="s">
        <v>2702</v>
      </c>
      <c r="E1213" t="s">
        <v>2649</v>
      </c>
      <c r="F1213" t="s">
        <v>88</v>
      </c>
      <c r="G1213">
        <v>18.210556</v>
      </c>
      <c r="H1213">
        <v>-67.159164000000004</v>
      </c>
      <c r="K1213" t="s">
        <v>155</v>
      </c>
      <c r="L1213">
        <v>1</v>
      </c>
      <c r="M1213" t="s">
        <v>90</v>
      </c>
      <c r="N1213" t="s">
        <v>91</v>
      </c>
      <c r="O1213" t="s">
        <v>92</v>
      </c>
      <c r="S1213" t="s">
        <v>108</v>
      </c>
      <c r="T1213" t="s">
        <v>159</v>
      </c>
      <c r="U1213" t="s">
        <v>186</v>
      </c>
    </row>
    <row r="1214" spans="1:21" x14ac:dyDescent="0.3">
      <c r="A1214" t="s">
        <v>2703</v>
      </c>
      <c r="B1214" s="6" t="str">
        <f>HYPERLINK("http://data.ntsb.gov/carol-repgen/api/Aviation/ReportMain/GenerateNewestReport/100758/pdf","AccidentReport")</f>
        <v>AccidentReport</v>
      </c>
      <c r="C1214" t="s">
        <v>2701</v>
      </c>
      <c r="D1214" t="s">
        <v>2704</v>
      </c>
      <c r="E1214" t="s">
        <v>125</v>
      </c>
      <c r="F1214" t="s">
        <v>88</v>
      </c>
      <c r="G1214">
        <v>34.439998000000003</v>
      </c>
      <c r="H1214">
        <v>-114.345558</v>
      </c>
      <c r="J1214">
        <v>1</v>
      </c>
      <c r="K1214" t="s">
        <v>99</v>
      </c>
      <c r="L1214">
        <v>1</v>
      </c>
      <c r="M1214" t="s">
        <v>90</v>
      </c>
      <c r="N1214" t="s">
        <v>91</v>
      </c>
      <c r="O1214" t="s">
        <v>92</v>
      </c>
      <c r="S1214" t="s">
        <v>108</v>
      </c>
      <c r="T1214" t="s">
        <v>159</v>
      </c>
      <c r="U1214" t="s">
        <v>186</v>
      </c>
    </row>
    <row r="1215" spans="1:21" x14ac:dyDescent="0.3">
      <c r="A1215" t="s">
        <v>2705</v>
      </c>
      <c r="B1215" s="6" t="str">
        <f>HYPERLINK("http://data.ntsb.gov/carol-repgen/api/Aviation/ReportMain/GenerateNewestReport/100721/pdf","AccidentReport")</f>
        <v>AccidentReport</v>
      </c>
      <c r="C1215" t="s">
        <v>2706</v>
      </c>
      <c r="D1215" t="s">
        <v>2707</v>
      </c>
      <c r="E1215" t="s">
        <v>228</v>
      </c>
      <c r="F1215" t="s">
        <v>88</v>
      </c>
      <c r="G1215">
        <v>31.342222</v>
      </c>
      <c r="H1215">
        <v>-92.443611000000004</v>
      </c>
      <c r="K1215" t="s">
        <v>155</v>
      </c>
      <c r="L1215">
        <v>1</v>
      </c>
      <c r="M1215" t="s">
        <v>90</v>
      </c>
      <c r="N1215" t="s">
        <v>91</v>
      </c>
      <c r="O1215" t="s">
        <v>92</v>
      </c>
      <c r="S1215" t="s">
        <v>108</v>
      </c>
      <c r="T1215" t="s">
        <v>94</v>
      </c>
      <c r="U1215" t="s">
        <v>95</v>
      </c>
    </row>
    <row r="1216" spans="1:21" x14ac:dyDescent="0.3">
      <c r="A1216" t="s">
        <v>2708</v>
      </c>
      <c r="B1216" s="6" t="str">
        <f>HYPERLINK("http://data.ntsb.gov/carol-repgen/api/Aviation/ReportMain/GenerateNewestReport/100815/pdf","AccidentReport")</f>
        <v>AccidentReport</v>
      </c>
      <c r="C1216" t="s">
        <v>2706</v>
      </c>
      <c r="D1216" t="s">
        <v>2709</v>
      </c>
      <c r="E1216" t="s">
        <v>142</v>
      </c>
      <c r="F1216" t="s">
        <v>88</v>
      </c>
      <c r="G1216">
        <v>39.690834000000002</v>
      </c>
      <c r="H1216">
        <v>-83.992773999999997</v>
      </c>
      <c r="K1216" t="s">
        <v>89</v>
      </c>
      <c r="L1216">
        <v>1</v>
      </c>
      <c r="M1216" t="s">
        <v>90</v>
      </c>
      <c r="N1216" t="s">
        <v>91</v>
      </c>
      <c r="O1216" t="s">
        <v>92</v>
      </c>
      <c r="S1216" t="s">
        <v>418</v>
      </c>
      <c r="T1216" t="s">
        <v>102</v>
      </c>
      <c r="U1216" t="s">
        <v>95</v>
      </c>
    </row>
    <row r="1217" spans="1:21" x14ac:dyDescent="0.3">
      <c r="A1217" t="s">
        <v>2710</v>
      </c>
      <c r="B1217" s="6" t="str">
        <f>HYPERLINK("http://data.ntsb.gov/carol-repgen/api/Aviation/ReportMain/GenerateNewestReport/100991/pdf","AccidentReport")</f>
        <v>AccidentReport</v>
      </c>
      <c r="C1217" t="s">
        <v>2706</v>
      </c>
      <c r="D1217" t="s">
        <v>2711</v>
      </c>
      <c r="E1217" t="s">
        <v>408</v>
      </c>
      <c r="F1217" t="s">
        <v>88</v>
      </c>
      <c r="G1217">
        <v>42.02861</v>
      </c>
      <c r="H1217">
        <v>-70.839720999999997</v>
      </c>
      <c r="K1217" t="s">
        <v>89</v>
      </c>
      <c r="L1217">
        <v>1</v>
      </c>
      <c r="M1217" t="s">
        <v>90</v>
      </c>
      <c r="N1217" t="s">
        <v>91</v>
      </c>
      <c r="O1217" t="s">
        <v>92</v>
      </c>
      <c r="S1217" t="s">
        <v>93</v>
      </c>
      <c r="T1217" t="s">
        <v>411</v>
      </c>
      <c r="U1217" t="s">
        <v>119</v>
      </c>
    </row>
    <row r="1218" spans="1:21" x14ac:dyDescent="0.3">
      <c r="A1218" t="s">
        <v>2712</v>
      </c>
      <c r="B1218" s="6" t="str">
        <f>HYPERLINK("http://data.ntsb.gov/carol-repgen/api/Aviation/ReportMain/GenerateNewestReport/100745/pdf","AccidentReport")</f>
        <v>AccidentReport</v>
      </c>
      <c r="C1218" t="s">
        <v>2706</v>
      </c>
      <c r="D1218" t="s">
        <v>505</v>
      </c>
      <c r="E1218" t="s">
        <v>125</v>
      </c>
      <c r="F1218" t="s">
        <v>88</v>
      </c>
      <c r="G1218">
        <v>33.269165000000001</v>
      </c>
      <c r="H1218">
        <v>-111.811111</v>
      </c>
      <c r="K1218" t="s">
        <v>89</v>
      </c>
      <c r="L1218">
        <v>1</v>
      </c>
      <c r="M1218" t="s">
        <v>90</v>
      </c>
      <c r="N1218" t="s">
        <v>91</v>
      </c>
      <c r="O1218" t="s">
        <v>92</v>
      </c>
      <c r="S1218" t="s">
        <v>93</v>
      </c>
      <c r="T1218" t="s">
        <v>94</v>
      </c>
      <c r="U1218" t="s">
        <v>221</v>
      </c>
    </row>
    <row r="1219" spans="1:21" x14ac:dyDescent="0.3">
      <c r="A1219" t="s">
        <v>2713</v>
      </c>
      <c r="B1219" s="6" t="str">
        <f>HYPERLINK("http://data.ntsb.gov/carol-repgen/api/Aviation/ReportMain/GenerateNewestReport/100988/pdf","AccidentReport")</f>
        <v>AccidentReport</v>
      </c>
      <c r="C1219" t="s">
        <v>2714</v>
      </c>
      <c r="D1219" t="s">
        <v>2715</v>
      </c>
      <c r="E1219" t="s">
        <v>651</v>
      </c>
      <c r="F1219" t="s">
        <v>88</v>
      </c>
      <c r="G1219">
        <v>42.592776999999998</v>
      </c>
      <c r="H1219">
        <v>-76.214995999999999</v>
      </c>
      <c r="K1219" t="s">
        <v>155</v>
      </c>
      <c r="L1219">
        <v>1</v>
      </c>
      <c r="M1219" t="s">
        <v>90</v>
      </c>
      <c r="N1219" t="s">
        <v>91</v>
      </c>
      <c r="O1219" t="s">
        <v>92</v>
      </c>
      <c r="S1219" t="s">
        <v>93</v>
      </c>
      <c r="T1219" t="s">
        <v>411</v>
      </c>
      <c r="U1219" t="s">
        <v>248</v>
      </c>
    </row>
    <row r="1220" spans="1:21" x14ac:dyDescent="0.3">
      <c r="A1220" t="s">
        <v>2716</v>
      </c>
      <c r="B1220" s="6" t="str">
        <f>HYPERLINK("http://data.ntsb.gov/carol-repgen/api/Aviation/ReportMain/GenerateNewestReport/100781/pdf","AccidentReport")</f>
        <v>AccidentReport</v>
      </c>
      <c r="C1220" t="s">
        <v>2714</v>
      </c>
      <c r="D1220" t="s">
        <v>1099</v>
      </c>
      <c r="E1220" t="s">
        <v>206</v>
      </c>
      <c r="F1220" t="s">
        <v>88</v>
      </c>
      <c r="G1220">
        <v>35.400001000000003</v>
      </c>
      <c r="H1220">
        <v>-80.623610999999997</v>
      </c>
      <c r="I1220">
        <v>0</v>
      </c>
      <c r="J1220">
        <v>0</v>
      </c>
      <c r="K1220" t="s">
        <v>155</v>
      </c>
      <c r="L1220">
        <v>1</v>
      </c>
      <c r="M1220" t="s">
        <v>90</v>
      </c>
      <c r="N1220" t="s">
        <v>91</v>
      </c>
      <c r="O1220" t="s">
        <v>92</v>
      </c>
      <c r="S1220" t="s">
        <v>108</v>
      </c>
      <c r="T1220" t="s">
        <v>220</v>
      </c>
      <c r="U1220" t="s">
        <v>95</v>
      </c>
    </row>
    <row r="1221" spans="1:21" x14ac:dyDescent="0.3">
      <c r="A1221" t="s">
        <v>2717</v>
      </c>
      <c r="B1221" s="6" t="str">
        <f>HYPERLINK("http://data.ntsb.gov/carol-repgen/api/Aviation/ReportMain/GenerateNewestReport/100831/pdf","AccidentReport")</f>
        <v>AccidentReport</v>
      </c>
      <c r="C1221" t="s">
        <v>2714</v>
      </c>
      <c r="D1221" t="s">
        <v>2718</v>
      </c>
      <c r="E1221" t="s">
        <v>265</v>
      </c>
      <c r="F1221" t="s">
        <v>88</v>
      </c>
      <c r="G1221">
        <v>36.649723000000002</v>
      </c>
      <c r="H1221">
        <v>-76.512495999999999</v>
      </c>
      <c r="K1221" t="s">
        <v>89</v>
      </c>
      <c r="L1221">
        <v>1</v>
      </c>
      <c r="M1221" t="s">
        <v>90</v>
      </c>
      <c r="N1221" t="s">
        <v>91</v>
      </c>
      <c r="O1221" t="s">
        <v>92</v>
      </c>
      <c r="S1221" t="s">
        <v>108</v>
      </c>
      <c r="T1221" t="s">
        <v>139</v>
      </c>
      <c r="U1221" t="s">
        <v>103</v>
      </c>
    </row>
    <row r="1222" spans="1:21" x14ac:dyDescent="0.3">
      <c r="A1222" t="s">
        <v>2719</v>
      </c>
      <c r="B1222" s="6" t="str">
        <f>HYPERLINK("http://data.ntsb.gov/carol-repgen/api/Aviation/ReportMain/GenerateNewestReport/100822/pdf","AccidentReport")</f>
        <v>AccidentReport</v>
      </c>
      <c r="C1222" t="s">
        <v>2720</v>
      </c>
      <c r="D1222" t="s">
        <v>645</v>
      </c>
      <c r="E1222" t="s">
        <v>98</v>
      </c>
      <c r="F1222" t="s">
        <v>88</v>
      </c>
      <c r="G1222">
        <v>29.301110999999999</v>
      </c>
      <c r="H1222">
        <v>-81.113890999999995</v>
      </c>
      <c r="K1222" t="s">
        <v>89</v>
      </c>
      <c r="L1222">
        <v>1</v>
      </c>
      <c r="M1222" t="s">
        <v>90</v>
      </c>
      <c r="N1222" t="s">
        <v>91</v>
      </c>
      <c r="O1222" t="s">
        <v>92</v>
      </c>
      <c r="S1222" t="s">
        <v>93</v>
      </c>
      <c r="T1222" t="s">
        <v>109</v>
      </c>
      <c r="U1222" t="s">
        <v>95</v>
      </c>
    </row>
    <row r="1223" spans="1:21" x14ac:dyDescent="0.3">
      <c r="A1223" t="s">
        <v>2721</v>
      </c>
      <c r="B1223" s="6" t="str">
        <f>HYPERLINK("http://data.ntsb.gov/carol-repgen/api/Aviation/ReportMain/GenerateNewestReport/100738/pdf","AccidentReport")</f>
        <v>AccidentReport</v>
      </c>
      <c r="C1223" t="s">
        <v>2722</v>
      </c>
      <c r="D1223" t="s">
        <v>2723</v>
      </c>
      <c r="E1223" t="s">
        <v>106</v>
      </c>
      <c r="F1223" t="s">
        <v>88</v>
      </c>
      <c r="G1223">
        <v>34.013331999999998</v>
      </c>
      <c r="H1223">
        <v>-118.452224</v>
      </c>
      <c r="K1223" t="s">
        <v>89</v>
      </c>
      <c r="L1223">
        <v>1</v>
      </c>
      <c r="M1223" t="s">
        <v>90</v>
      </c>
      <c r="N1223" t="s">
        <v>91</v>
      </c>
      <c r="O1223" t="s">
        <v>92</v>
      </c>
      <c r="S1223" t="s">
        <v>108</v>
      </c>
      <c r="T1223" t="s">
        <v>587</v>
      </c>
      <c r="U1223" t="s">
        <v>222</v>
      </c>
    </row>
    <row r="1224" spans="1:21" x14ac:dyDescent="0.3">
      <c r="A1224" t="s">
        <v>2724</v>
      </c>
      <c r="B1224" s="6" t="str">
        <f>HYPERLINK("http://data.ntsb.gov/carol-repgen/api/Aviation/ReportMain/GenerateNewestReport/100739/pdf","AccidentReport")</f>
        <v>AccidentReport</v>
      </c>
      <c r="C1224" t="s">
        <v>2725</v>
      </c>
      <c r="D1224" t="s">
        <v>2726</v>
      </c>
      <c r="E1224" t="s">
        <v>228</v>
      </c>
      <c r="F1224" t="s">
        <v>88</v>
      </c>
      <c r="G1224">
        <v>30.176110999999999</v>
      </c>
      <c r="H1224">
        <v>-92.007498999999996</v>
      </c>
      <c r="I1224">
        <v>5</v>
      </c>
      <c r="J1224">
        <v>2</v>
      </c>
      <c r="K1224" t="s">
        <v>107</v>
      </c>
      <c r="L1224">
        <v>1</v>
      </c>
      <c r="M1224" t="s">
        <v>147</v>
      </c>
      <c r="N1224" t="s">
        <v>91</v>
      </c>
      <c r="O1224" t="s">
        <v>92</v>
      </c>
      <c r="S1224" t="s">
        <v>498</v>
      </c>
      <c r="T1224" t="s">
        <v>381</v>
      </c>
      <c r="U1224" t="s">
        <v>248</v>
      </c>
    </row>
    <row r="1225" spans="1:21" x14ac:dyDescent="0.3">
      <c r="A1225" t="s">
        <v>2727</v>
      </c>
      <c r="B1225" s="6" t="str">
        <f>HYPERLINK("http://data.ntsb.gov/carol-repgen/api/Aviation/ReportMain/GenerateNewestReport/100753/pdf","AccidentReport")</f>
        <v>AccidentReport</v>
      </c>
      <c r="C1225" t="s">
        <v>2725</v>
      </c>
      <c r="D1225" t="s">
        <v>1387</v>
      </c>
      <c r="E1225" t="s">
        <v>206</v>
      </c>
      <c r="F1225" t="s">
        <v>88</v>
      </c>
      <c r="G1225">
        <v>35.424999</v>
      </c>
      <c r="H1225">
        <v>-82.531943999999996</v>
      </c>
      <c r="K1225" t="s">
        <v>89</v>
      </c>
      <c r="L1225">
        <v>1</v>
      </c>
      <c r="M1225" t="s">
        <v>147</v>
      </c>
      <c r="N1225" t="s">
        <v>91</v>
      </c>
      <c r="O1225" t="s">
        <v>92</v>
      </c>
      <c r="S1225" t="s">
        <v>108</v>
      </c>
      <c r="T1225" t="s">
        <v>159</v>
      </c>
      <c r="U1225" t="s">
        <v>150</v>
      </c>
    </row>
    <row r="1226" spans="1:21" x14ac:dyDescent="0.3">
      <c r="A1226" t="s">
        <v>2728</v>
      </c>
      <c r="B1226" s="6" t="str">
        <f>HYPERLINK("http://data.ntsb.gov/carol-repgen/api/Aviation/ReportMain/GenerateNewestReport/100840/pdf","AccidentReport")</f>
        <v>AccidentReport</v>
      </c>
      <c r="C1226" t="s">
        <v>2725</v>
      </c>
      <c r="D1226" t="s">
        <v>2729</v>
      </c>
      <c r="E1226" t="s">
        <v>651</v>
      </c>
      <c r="F1226" t="s">
        <v>88</v>
      </c>
      <c r="G1226">
        <v>40.713054</v>
      </c>
      <c r="H1226">
        <v>-73.411940999999999</v>
      </c>
      <c r="I1226">
        <v>0</v>
      </c>
      <c r="J1226">
        <v>0</v>
      </c>
      <c r="K1226" t="s">
        <v>155</v>
      </c>
      <c r="L1226">
        <v>1</v>
      </c>
      <c r="M1226" t="s">
        <v>90</v>
      </c>
      <c r="N1226" t="s">
        <v>91</v>
      </c>
      <c r="O1226" t="s">
        <v>92</v>
      </c>
      <c r="S1226" t="s">
        <v>108</v>
      </c>
      <c r="T1226" t="s">
        <v>159</v>
      </c>
      <c r="U1226" t="s">
        <v>119</v>
      </c>
    </row>
    <row r="1227" spans="1:21" x14ac:dyDescent="0.3">
      <c r="A1227" t="s">
        <v>2730</v>
      </c>
      <c r="B1227" s="6" t="str">
        <f>HYPERLINK("http://data.ntsb.gov/carol-repgen/api/Aviation/ReportMain/GenerateNewestReport/100746/pdf","AccidentReport")</f>
        <v>AccidentReport</v>
      </c>
      <c r="C1227" t="s">
        <v>2725</v>
      </c>
      <c r="D1227" t="s">
        <v>2731</v>
      </c>
      <c r="E1227" t="s">
        <v>112</v>
      </c>
      <c r="F1227" t="s">
        <v>88</v>
      </c>
      <c r="G1227">
        <v>46.915832000000002</v>
      </c>
      <c r="H1227">
        <v>-114.08944700000001</v>
      </c>
      <c r="K1227" t="s">
        <v>89</v>
      </c>
      <c r="L1227">
        <v>1</v>
      </c>
      <c r="M1227" t="s">
        <v>90</v>
      </c>
      <c r="N1227" t="s">
        <v>91</v>
      </c>
      <c r="O1227" t="s">
        <v>92</v>
      </c>
      <c r="S1227" t="s">
        <v>93</v>
      </c>
      <c r="T1227" t="s">
        <v>94</v>
      </c>
      <c r="U1227" t="s">
        <v>248</v>
      </c>
    </row>
    <row r="1228" spans="1:21" x14ac:dyDescent="0.3">
      <c r="A1228" t="s">
        <v>2732</v>
      </c>
      <c r="B1228" s="6" t="str">
        <f>HYPERLINK("http://data.ntsb.gov/carol-repgen/api/Aviation/ReportMain/GenerateNewestReport/100743/pdf","AccidentReport")</f>
        <v>AccidentReport</v>
      </c>
      <c r="C1228" t="s">
        <v>2733</v>
      </c>
      <c r="D1228" t="s">
        <v>2734</v>
      </c>
      <c r="E1228" t="s">
        <v>154</v>
      </c>
      <c r="F1228" t="s">
        <v>88</v>
      </c>
      <c r="G1228">
        <v>27.77861</v>
      </c>
      <c r="H1228">
        <v>-97.690833999999995</v>
      </c>
      <c r="K1228" t="s">
        <v>89</v>
      </c>
      <c r="L1228">
        <v>1</v>
      </c>
      <c r="M1228" t="s">
        <v>90</v>
      </c>
      <c r="N1228" t="s">
        <v>91</v>
      </c>
      <c r="O1228" t="s">
        <v>92</v>
      </c>
      <c r="S1228" t="s">
        <v>108</v>
      </c>
      <c r="T1228" t="s">
        <v>94</v>
      </c>
      <c r="U1228" t="s">
        <v>222</v>
      </c>
    </row>
    <row r="1229" spans="1:21" x14ac:dyDescent="0.3">
      <c r="A1229" t="s">
        <v>2735</v>
      </c>
      <c r="B1229" s="6" t="str">
        <f>HYPERLINK("http://data.ntsb.gov/carol-repgen/api/Aviation/ReportMain/GenerateNewestReport/100740/pdf","AccidentReport")</f>
        <v>AccidentReport</v>
      </c>
      <c r="C1229" t="s">
        <v>2733</v>
      </c>
      <c r="D1229" t="s">
        <v>2574</v>
      </c>
      <c r="E1229" t="s">
        <v>536</v>
      </c>
      <c r="F1229" t="s">
        <v>88</v>
      </c>
      <c r="G1229">
        <v>38.971389000000002</v>
      </c>
      <c r="H1229">
        <v>-76.893057999999996</v>
      </c>
      <c r="I1229">
        <v>1</v>
      </c>
      <c r="K1229" t="s">
        <v>107</v>
      </c>
      <c r="L1229">
        <v>1</v>
      </c>
      <c r="M1229" t="s">
        <v>147</v>
      </c>
      <c r="N1229" t="s">
        <v>91</v>
      </c>
      <c r="O1229" t="s">
        <v>92</v>
      </c>
      <c r="S1229" t="s">
        <v>108</v>
      </c>
      <c r="T1229" t="s">
        <v>381</v>
      </c>
      <c r="U1229" t="s">
        <v>150</v>
      </c>
    </row>
    <row r="1230" spans="1:21" x14ac:dyDescent="0.3">
      <c r="A1230" t="s">
        <v>2736</v>
      </c>
      <c r="B1230" s="6" t="str">
        <f>HYPERLINK("http://data.ntsb.gov/carol-repgen/api/Aviation/ReportMain/GenerateNewestReport/100744/pdf","AccidentReport")</f>
        <v>AccidentReport</v>
      </c>
      <c r="C1230" t="s">
        <v>2737</v>
      </c>
      <c r="D1230" t="s">
        <v>2738</v>
      </c>
      <c r="E1230" t="s">
        <v>154</v>
      </c>
      <c r="F1230" t="s">
        <v>88</v>
      </c>
      <c r="G1230">
        <v>32.365554000000003</v>
      </c>
      <c r="H1230">
        <v>-97.644996000000006</v>
      </c>
      <c r="K1230" t="s">
        <v>89</v>
      </c>
      <c r="L1230">
        <v>1</v>
      </c>
      <c r="M1230" t="s">
        <v>90</v>
      </c>
      <c r="N1230" t="s">
        <v>91</v>
      </c>
      <c r="O1230" t="s">
        <v>92</v>
      </c>
      <c r="S1230" t="s">
        <v>108</v>
      </c>
      <c r="T1230" t="s">
        <v>542</v>
      </c>
      <c r="U1230" t="s">
        <v>119</v>
      </c>
    </row>
    <row r="1231" spans="1:21" x14ac:dyDescent="0.3">
      <c r="A1231" t="s">
        <v>2739</v>
      </c>
      <c r="B1231" s="6" t="str">
        <f>HYPERLINK("http://data.ntsb.gov/carol-repgen/api/Aviation/ReportMain/GenerateNewestReport/100754/pdf","AccidentReport")</f>
        <v>AccidentReport</v>
      </c>
      <c r="C1231" t="s">
        <v>2737</v>
      </c>
      <c r="D1231" t="s">
        <v>2740</v>
      </c>
      <c r="E1231" t="s">
        <v>345</v>
      </c>
      <c r="F1231" t="s">
        <v>88</v>
      </c>
      <c r="G1231">
        <v>42.582220999999997</v>
      </c>
      <c r="H1231">
        <v>-110.108886</v>
      </c>
      <c r="K1231" t="s">
        <v>89</v>
      </c>
      <c r="L1231">
        <v>1</v>
      </c>
      <c r="M1231" t="s">
        <v>90</v>
      </c>
      <c r="N1231" t="s">
        <v>91</v>
      </c>
      <c r="O1231" t="s">
        <v>92</v>
      </c>
      <c r="S1231" t="s">
        <v>108</v>
      </c>
      <c r="T1231" t="s">
        <v>94</v>
      </c>
      <c r="U1231" t="s">
        <v>95</v>
      </c>
    </row>
    <row r="1232" spans="1:21" x14ac:dyDescent="0.3">
      <c r="A1232" t="s">
        <v>2741</v>
      </c>
      <c r="B1232" s="6" t="str">
        <f>HYPERLINK("http://data.ntsb.gov/carol-repgen/api/Aviation/ReportMain/GenerateNewestReport/100755/pdf","AccidentReport")</f>
        <v>AccidentReport</v>
      </c>
      <c r="C1232" t="s">
        <v>2742</v>
      </c>
      <c r="D1232" t="s">
        <v>1128</v>
      </c>
      <c r="E1232" t="s">
        <v>233</v>
      </c>
      <c r="F1232" t="s">
        <v>88</v>
      </c>
      <c r="G1232">
        <v>64.666945999999996</v>
      </c>
      <c r="H1232">
        <v>-148.13333</v>
      </c>
      <c r="K1232" t="s">
        <v>89</v>
      </c>
      <c r="L1232">
        <v>1</v>
      </c>
      <c r="M1232" t="s">
        <v>90</v>
      </c>
      <c r="N1232" t="s">
        <v>91</v>
      </c>
      <c r="O1232" t="s">
        <v>92</v>
      </c>
      <c r="S1232" t="s">
        <v>108</v>
      </c>
      <c r="T1232" t="s">
        <v>118</v>
      </c>
      <c r="U1232" t="s">
        <v>186</v>
      </c>
    </row>
    <row r="1233" spans="1:21" x14ac:dyDescent="0.3">
      <c r="A1233" t="s">
        <v>2743</v>
      </c>
      <c r="B1233" s="6" t="str">
        <f>HYPERLINK("http://data.ntsb.gov/carol-repgen/api/Aviation/ReportMain/GenerateNewestReport/100751/pdf","AccidentReport")</f>
        <v>AccidentReport</v>
      </c>
      <c r="C1233" t="s">
        <v>2742</v>
      </c>
      <c r="D1233" t="s">
        <v>2744</v>
      </c>
      <c r="E1233" t="s">
        <v>399</v>
      </c>
      <c r="F1233" t="s">
        <v>88</v>
      </c>
      <c r="G1233">
        <v>39.498054000000003</v>
      </c>
      <c r="H1233">
        <v>-96.175003000000004</v>
      </c>
      <c r="K1233" t="s">
        <v>89</v>
      </c>
      <c r="L1233">
        <v>1</v>
      </c>
      <c r="M1233" t="s">
        <v>90</v>
      </c>
      <c r="N1233" t="s">
        <v>91</v>
      </c>
      <c r="O1233" t="s">
        <v>92</v>
      </c>
      <c r="S1233" t="s">
        <v>108</v>
      </c>
      <c r="T1233" t="s">
        <v>411</v>
      </c>
      <c r="U1233" t="s">
        <v>248</v>
      </c>
    </row>
    <row r="1234" spans="1:21" x14ac:dyDescent="0.3">
      <c r="A1234" t="s">
        <v>2745</v>
      </c>
      <c r="B1234" s="6" t="str">
        <f>HYPERLINK("http://data.ntsb.gov/carol-repgen/api/Aviation/ReportMain/GenerateNewestReport/100748/pdf","AccidentReport")</f>
        <v>AccidentReport</v>
      </c>
      <c r="C1234" t="s">
        <v>2742</v>
      </c>
      <c r="D1234" t="s">
        <v>2746</v>
      </c>
      <c r="E1234" t="s">
        <v>399</v>
      </c>
      <c r="F1234" t="s">
        <v>88</v>
      </c>
      <c r="G1234">
        <v>38.846111000000001</v>
      </c>
      <c r="H1234">
        <v>-94.736114000000001</v>
      </c>
      <c r="I1234">
        <v>2</v>
      </c>
      <c r="K1234" t="s">
        <v>107</v>
      </c>
      <c r="L1234">
        <v>1</v>
      </c>
      <c r="M1234" t="s">
        <v>147</v>
      </c>
      <c r="N1234" t="s">
        <v>91</v>
      </c>
      <c r="O1234" t="s">
        <v>92</v>
      </c>
      <c r="S1234" t="s">
        <v>108</v>
      </c>
      <c r="T1234" t="s">
        <v>102</v>
      </c>
      <c r="U1234" t="s">
        <v>248</v>
      </c>
    </row>
    <row r="1235" spans="1:21" x14ac:dyDescent="0.3">
      <c r="A1235" t="s">
        <v>2747</v>
      </c>
      <c r="B1235" s="6" t="str">
        <f>HYPERLINK("http://data.ntsb.gov/carol-repgen/api/Aviation/ReportMain/GenerateNewestReport/100750/pdf","AccidentReport")</f>
        <v>AccidentReport</v>
      </c>
      <c r="C1235" t="s">
        <v>2742</v>
      </c>
      <c r="D1235" t="s">
        <v>1419</v>
      </c>
      <c r="E1235" t="s">
        <v>154</v>
      </c>
      <c r="F1235" t="s">
        <v>88</v>
      </c>
      <c r="G1235">
        <v>29.243887999999998</v>
      </c>
      <c r="H1235">
        <v>-95.333053000000007</v>
      </c>
      <c r="K1235" t="s">
        <v>89</v>
      </c>
      <c r="L1235">
        <v>1</v>
      </c>
      <c r="M1235" t="s">
        <v>90</v>
      </c>
      <c r="N1235" t="s">
        <v>100</v>
      </c>
      <c r="O1235" t="s">
        <v>92</v>
      </c>
      <c r="S1235" t="s">
        <v>93</v>
      </c>
      <c r="T1235" t="s">
        <v>159</v>
      </c>
      <c r="U1235" t="s">
        <v>103</v>
      </c>
    </row>
    <row r="1236" spans="1:21" x14ac:dyDescent="0.3">
      <c r="A1236" t="s">
        <v>2748</v>
      </c>
      <c r="B1236" s="6" t="str">
        <f>HYPERLINK("http://data.ntsb.gov/carol-repgen/api/Aviation/ReportMain/GenerateNewestReport/100757/pdf","AccidentReport")</f>
        <v>AccidentReport</v>
      </c>
      <c r="C1236" t="s">
        <v>2742</v>
      </c>
      <c r="D1236" t="s">
        <v>2749</v>
      </c>
      <c r="E1236" t="s">
        <v>106</v>
      </c>
      <c r="F1236" t="s">
        <v>88</v>
      </c>
      <c r="G1236">
        <v>39.128611999999997</v>
      </c>
      <c r="H1236">
        <v>-123.715835</v>
      </c>
      <c r="K1236" t="s">
        <v>89</v>
      </c>
      <c r="L1236">
        <v>1</v>
      </c>
      <c r="M1236" t="s">
        <v>90</v>
      </c>
      <c r="N1236" t="s">
        <v>91</v>
      </c>
      <c r="O1236" t="s">
        <v>92</v>
      </c>
      <c r="S1236" t="s">
        <v>108</v>
      </c>
      <c r="T1236" t="s">
        <v>411</v>
      </c>
      <c r="U1236" t="s">
        <v>119</v>
      </c>
    </row>
  </sheetData>
  <mergeCells count="1">
    <mergeCell ref="A1:XFD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35126-E94F-4BE9-B614-65F1B5CA3B26}">
  <sheetPr codeName="Sheet20"/>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2778</v>
      </c>
    </row>
    <row r="2" spans="1:3" s="5" customFormat="1" x14ac:dyDescent="0.3">
      <c r="A2" s="5" t="s">
        <v>2751</v>
      </c>
      <c r="B2" s="5" t="s">
        <v>107</v>
      </c>
      <c r="C2" s="5" t="s">
        <v>2752</v>
      </c>
    </row>
    <row r="3" spans="1:3" x14ac:dyDescent="0.3">
      <c r="A3">
        <v>2010</v>
      </c>
      <c r="B3">
        <v>11</v>
      </c>
      <c r="C3">
        <v>34</v>
      </c>
    </row>
    <row r="4" spans="1:3" x14ac:dyDescent="0.3">
      <c r="A4">
        <v>2011</v>
      </c>
      <c r="B4">
        <v>4</v>
      </c>
      <c r="C4">
        <v>29</v>
      </c>
    </row>
    <row r="5" spans="1:3" x14ac:dyDescent="0.3">
      <c r="A5">
        <v>2012</v>
      </c>
      <c r="B5">
        <v>12</v>
      </c>
      <c r="C5">
        <v>35</v>
      </c>
    </row>
    <row r="6" spans="1:3" x14ac:dyDescent="0.3">
      <c r="A6">
        <v>2013</v>
      </c>
      <c r="B6">
        <v>10</v>
      </c>
      <c r="C6">
        <v>34</v>
      </c>
    </row>
    <row r="7" spans="1:3" x14ac:dyDescent="0.3">
      <c r="A7">
        <v>2014</v>
      </c>
      <c r="B7">
        <v>5</v>
      </c>
      <c r="C7">
        <v>30</v>
      </c>
    </row>
    <row r="8" spans="1:3" x14ac:dyDescent="0.3">
      <c r="A8">
        <v>2015</v>
      </c>
      <c r="B8">
        <v>7</v>
      </c>
      <c r="C8">
        <v>35</v>
      </c>
    </row>
    <row r="9" spans="1:3" x14ac:dyDescent="0.3">
      <c r="A9">
        <v>2016</v>
      </c>
      <c r="B9">
        <v>6</v>
      </c>
      <c r="C9">
        <v>32</v>
      </c>
    </row>
    <row r="10" spans="1:3" x14ac:dyDescent="0.3">
      <c r="A10">
        <v>2017</v>
      </c>
      <c r="B10">
        <v>7</v>
      </c>
      <c r="C10">
        <v>30</v>
      </c>
    </row>
    <row r="11" spans="1:3" x14ac:dyDescent="0.3">
      <c r="A11">
        <v>2018</v>
      </c>
      <c r="B11">
        <v>9</v>
      </c>
      <c r="C11">
        <v>35</v>
      </c>
    </row>
    <row r="12" spans="1:3" x14ac:dyDescent="0.3">
      <c r="A12">
        <v>2019</v>
      </c>
      <c r="B12">
        <v>11</v>
      </c>
      <c r="C12">
        <v>38</v>
      </c>
    </row>
  </sheetData>
  <mergeCells count="1">
    <mergeCell ref="A1:XF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09C6-BB67-419C-B198-A5D2616AC396}">
  <sheetPr codeName="Sheet21"/>
  <dimension ref="A1:C12"/>
  <sheetViews>
    <sheetView workbookViewId="0">
      <selection sqref="A1:XFD1"/>
    </sheetView>
  </sheetViews>
  <sheetFormatPr defaultRowHeight="14.4" x14ac:dyDescent="0.3"/>
  <cols>
    <col min="1" max="1" width="12.88671875" bestFit="1" customWidth="1"/>
    <col min="2" max="3" width="12" bestFit="1" customWidth="1"/>
  </cols>
  <sheetData>
    <row r="1" spans="1:3" s="9" customFormat="1" x14ac:dyDescent="0.3">
      <c r="A1" s="8" t="s">
        <v>2779</v>
      </c>
    </row>
    <row r="2" spans="1:3" s="5" customFormat="1" x14ac:dyDescent="0.3">
      <c r="A2" s="5" t="s">
        <v>2751</v>
      </c>
      <c r="B2" s="5" t="s">
        <v>107</v>
      </c>
      <c r="C2" s="5" t="s">
        <v>2752</v>
      </c>
    </row>
    <row r="3" spans="1:3" x14ac:dyDescent="0.3">
      <c r="A3">
        <v>2010</v>
      </c>
      <c r="B3">
        <v>0.46082949308755761</v>
      </c>
      <c r="C3">
        <v>1.4243820695433598</v>
      </c>
    </row>
    <row r="4" spans="1:3" x14ac:dyDescent="0.3">
      <c r="A4" s="7" t="s">
        <v>2815</v>
      </c>
    </row>
    <row r="5" spans="1:3" x14ac:dyDescent="0.3">
      <c r="A5">
        <v>2012</v>
      </c>
      <c r="B5">
        <v>0.56433514735731249</v>
      </c>
      <c r="C5">
        <v>1.645977513125495</v>
      </c>
    </row>
    <row r="6" spans="1:3" x14ac:dyDescent="0.3">
      <c r="A6">
        <v>2013</v>
      </c>
      <c r="B6">
        <v>0.58254282272289837</v>
      </c>
      <c r="C6">
        <v>1.9806455972578545</v>
      </c>
    </row>
    <row r="7" spans="1:3" x14ac:dyDescent="0.3">
      <c r="A7">
        <v>2014</v>
      </c>
      <c r="B7">
        <v>0.28660571136397378</v>
      </c>
      <c r="C7">
        <v>1.7196342681838426</v>
      </c>
    </row>
    <row r="8" spans="1:3" x14ac:dyDescent="0.3">
      <c r="A8">
        <v>2015</v>
      </c>
      <c r="B8">
        <v>0.38068864400336527</v>
      </c>
      <c r="C8">
        <v>1.9034432200168263</v>
      </c>
    </row>
    <row r="9" spans="1:3" x14ac:dyDescent="0.3">
      <c r="A9">
        <v>2016</v>
      </c>
      <c r="B9">
        <v>0.33729846416765985</v>
      </c>
      <c r="C9">
        <v>1.7989251422275192</v>
      </c>
    </row>
    <row r="10" spans="1:3" x14ac:dyDescent="0.3">
      <c r="A10">
        <v>2017</v>
      </c>
      <c r="B10">
        <v>0.36716631007824313</v>
      </c>
      <c r="C10">
        <v>1.5735699003353276</v>
      </c>
    </row>
    <row r="11" spans="1:3" x14ac:dyDescent="0.3">
      <c r="A11">
        <v>2018</v>
      </c>
      <c r="B11">
        <v>0.53105898472143298</v>
      </c>
      <c r="C11">
        <v>2.065229385027795</v>
      </c>
    </row>
    <row r="12" spans="1:3" x14ac:dyDescent="0.3">
      <c r="A12">
        <v>2019</v>
      </c>
      <c r="B12">
        <v>0.67285736219116621</v>
      </c>
      <c r="C12">
        <v>2.3244163421149375</v>
      </c>
    </row>
  </sheetData>
  <mergeCells count="1">
    <mergeCell ref="A1:XF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F5F7-8D9E-450A-AC37-8C3A1A01A5A3}">
  <sheetPr codeName="Sheet22"/>
  <dimension ref="A1:C18"/>
  <sheetViews>
    <sheetView workbookViewId="0">
      <selection sqref="A1:XFD1"/>
    </sheetView>
  </sheetViews>
  <sheetFormatPr defaultRowHeight="14.4" x14ac:dyDescent="0.3"/>
  <cols>
    <col min="1" max="1" width="34.5546875" bestFit="1" customWidth="1"/>
    <col min="2" max="2" width="5.6640625" bestFit="1" customWidth="1"/>
    <col min="3" max="3" width="9.6640625" bestFit="1" customWidth="1"/>
  </cols>
  <sheetData>
    <row r="1" spans="1:3" s="9" customFormat="1" x14ac:dyDescent="0.3">
      <c r="A1" s="8" t="s">
        <v>2780</v>
      </c>
    </row>
    <row r="2" spans="1:3" s="5" customFormat="1" x14ac:dyDescent="0.3">
      <c r="A2" s="5" t="s">
        <v>2758</v>
      </c>
      <c r="B2" s="5" t="s">
        <v>107</v>
      </c>
      <c r="C2" s="5" t="s">
        <v>2759</v>
      </c>
    </row>
    <row r="3" spans="1:3" x14ac:dyDescent="0.3">
      <c r="A3" t="s">
        <v>102</v>
      </c>
      <c r="B3">
        <v>8</v>
      </c>
      <c r="C3">
        <v>2</v>
      </c>
    </row>
    <row r="4" spans="1:3" x14ac:dyDescent="0.3">
      <c r="A4" t="s">
        <v>109</v>
      </c>
      <c r="B4">
        <v>0</v>
      </c>
      <c r="C4">
        <v>7</v>
      </c>
    </row>
    <row r="5" spans="1:3" x14ac:dyDescent="0.3">
      <c r="A5" t="s">
        <v>159</v>
      </c>
      <c r="B5">
        <v>1</v>
      </c>
      <c r="C5">
        <v>2</v>
      </c>
    </row>
    <row r="6" spans="1:3" x14ac:dyDescent="0.3">
      <c r="A6" t="s">
        <v>411</v>
      </c>
      <c r="B6">
        <v>0</v>
      </c>
      <c r="C6">
        <v>3</v>
      </c>
    </row>
    <row r="7" spans="1:3" x14ac:dyDescent="0.3">
      <c r="A7" t="s">
        <v>287</v>
      </c>
      <c r="B7">
        <v>2</v>
      </c>
      <c r="C7">
        <v>0</v>
      </c>
    </row>
    <row r="8" spans="1:3" x14ac:dyDescent="0.3">
      <c r="A8" t="s">
        <v>94</v>
      </c>
      <c r="B8">
        <v>0</v>
      </c>
      <c r="C8">
        <v>2</v>
      </c>
    </row>
    <row r="9" spans="1:3" x14ac:dyDescent="0.3">
      <c r="A9" t="s">
        <v>247</v>
      </c>
      <c r="B9">
        <v>0</v>
      </c>
      <c r="C9">
        <v>2</v>
      </c>
    </row>
    <row r="10" spans="1:3" x14ac:dyDescent="0.3">
      <c r="A10" t="s">
        <v>934</v>
      </c>
      <c r="B10">
        <v>0</v>
      </c>
      <c r="C10">
        <v>2</v>
      </c>
    </row>
    <row r="11" spans="1:3" x14ac:dyDescent="0.3">
      <c r="A11" t="s">
        <v>279</v>
      </c>
      <c r="B11">
        <v>1</v>
      </c>
      <c r="C11">
        <v>0</v>
      </c>
    </row>
    <row r="12" spans="1:3" x14ac:dyDescent="0.3">
      <c r="A12" t="s">
        <v>542</v>
      </c>
      <c r="B12">
        <v>0</v>
      </c>
      <c r="C12">
        <v>1</v>
      </c>
    </row>
    <row r="13" spans="1:3" x14ac:dyDescent="0.3">
      <c r="A13" t="s">
        <v>113</v>
      </c>
      <c r="B13">
        <v>0</v>
      </c>
      <c r="C13">
        <v>1</v>
      </c>
    </row>
    <row r="14" spans="1:3" x14ac:dyDescent="0.3">
      <c r="A14" t="s">
        <v>139</v>
      </c>
      <c r="B14">
        <v>0</v>
      </c>
      <c r="C14">
        <v>1</v>
      </c>
    </row>
    <row r="15" spans="1:3" x14ac:dyDescent="0.3">
      <c r="A15" t="s">
        <v>499</v>
      </c>
      <c r="B15">
        <v>0</v>
      </c>
      <c r="C15">
        <v>1</v>
      </c>
    </row>
    <row r="16" spans="1:3" x14ac:dyDescent="0.3">
      <c r="A16" t="s">
        <v>414</v>
      </c>
      <c r="B16">
        <v>0</v>
      </c>
      <c r="C16">
        <v>1</v>
      </c>
    </row>
    <row r="17" spans="1:3" x14ac:dyDescent="0.3">
      <c r="A17" t="s">
        <v>493</v>
      </c>
      <c r="B17">
        <v>0</v>
      </c>
      <c r="C17">
        <v>1</v>
      </c>
    </row>
    <row r="18" spans="1:3" x14ac:dyDescent="0.3">
      <c r="A18" t="s">
        <v>442</v>
      </c>
      <c r="B18">
        <v>0</v>
      </c>
      <c r="C18">
        <v>1</v>
      </c>
    </row>
  </sheetData>
  <mergeCells count="1">
    <mergeCell ref="A1:XF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5D1A-6D7D-46A5-8DC8-6EF30D685FA6}">
  <sheetPr codeName="Sheet23"/>
  <dimension ref="A1:C9"/>
  <sheetViews>
    <sheetView workbookViewId="0">
      <selection sqref="A1:XFD1"/>
    </sheetView>
  </sheetViews>
  <sheetFormatPr defaultRowHeight="14.4" x14ac:dyDescent="0.3"/>
  <cols>
    <col min="1" max="1" width="13.5546875" bestFit="1" customWidth="1"/>
    <col min="2" max="2" width="5.6640625" bestFit="1" customWidth="1"/>
    <col min="3" max="3" width="9.6640625" bestFit="1" customWidth="1"/>
  </cols>
  <sheetData>
    <row r="1" spans="1:3" s="9" customFormat="1" x14ac:dyDescent="0.3">
      <c r="A1" s="8" t="s">
        <v>2781</v>
      </c>
    </row>
    <row r="2" spans="1:3" s="5" customFormat="1" x14ac:dyDescent="0.3">
      <c r="A2" s="5" t="s">
        <v>2761</v>
      </c>
      <c r="B2" s="5" t="s">
        <v>107</v>
      </c>
      <c r="C2" s="5" t="s">
        <v>2759</v>
      </c>
    </row>
    <row r="3" spans="1:3" x14ac:dyDescent="0.3">
      <c r="A3" t="s">
        <v>95</v>
      </c>
      <c r="B3">
        <v>0</v>
      </c>
      <c r="C3">
        <v>14</v>
      </c>
    </row>
    <row r="4" spans="1:3" x14ac:dyDescent="0.3">
      <c r="A4" t="s">
        <v>186</v>
      </c>
      <c r="B4">
        <v>3</v>
      </c>
      <c r="C4">
        <v>5</v>
      </c>
    </row>
    <row r="5" spans="1:3" x14ac:dyDescent="0.3">
      <c r="A5" t="s">
        <v>119</v>
      </c>
      <c r="B5">
        <v>4</v>
      </c>
      <c r="C5">
        <v>1</v>
      </c>
    </row>
    <row r="6" spans="1:3" x14ac:dyDescent="0.3">
      <c r="A6" t="s">
        <v>103</v>
      </c>
      <c r="B6">
        <v>3</v>
      </c>
      <c r="C6">
        <v>1</v>
      </c>
    </row>
    <row r="7" spans="1:3" x14ac:dyDescent="0.3">
      <c r="A7" t="s">
        <v>150</v>
      </c>
      <c r="B7">
        <v>2</v>
      </c>
      <c r="C7">
        <v>2</v>
      </c>
    </row>
    <row r="8" spans="1:3" x14ac:dyDescent="0.3">
      <c r="A8" t="s">
        <v>248</v>
      </c>
      <c r="B8">
        <v>0</v>
      </c>
      <c r="C8">
        <v>3</v>
      </c>
    </row>
    <row r="9" spans="1:3" x14ac:dyDescent="0.3">
      <c r="A9" t="s">
        <v>381</v>
      </c>
      <c r="B9">
        <v>0</v>
      </c>
      <c r="C9">
        <v>1</v>
      </c>
    </row>
  </sheetData>
  <mergeCells count="1">
    <mergeCell ref="A1:XFD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2F85-A320-44CD-A2F2-F71909FE0778}">
  <sheetPr codeName="Sheet24"/>
  <dimension ref="A1:B12"/>
  <sheetViews>
    <sheetView workbookViewId="0">
      <selection sqref="A1:XFD1"/>
    </sheetView>
  </sheetViews>
  <sheetFormatPr defaultRowHeight="14.4" x14ac:dyDescent="0.3"/>
  <cols>
    <col min="1" max="1" width="12.88671875" bestFit="1" customWidth="1"/>
    <col min="2" max="2" width="52" bestFit="1" customWidth="1"/>
  </cols>
  <sheetData>
    <row r="1" spans="1:2" s="9" customFormat="1" x14ac:dyDescent="0.3">
      <c r="A1" s="8" t="s">
        <v>2782</v>
      </c>
    </row>
    <row r="2" spans="1:2" s="5" customFormat="1" x14ac:dyDescent="0.3">
      <c r="A2" s="5" t="s">
        <v>2751</v>
      </c>
      <c r="B2" s="5" t="s">
        <v>2783</v>
      </c>
    </row>
    <row r="3" spans="1:2" x14ac:dyDescent="0.3">
      <c r="A3">
        <v>2010</v>
      </c>
      <c r="B3">
        <v>26.959040000000002</v>
      </c>
    </row>
    <row r="4" spans="1:2" x14ac:dyDescent="0.3">
      <c r="A4" s="7" t="s">
        <v>2815</v>
      </c>
    </row>
    <row r="5" spans="1:2" x14ac:dyDescent="0.3">
      <c r="A5">
        <v>2012</v>
      </c>
      <c r="B5">
        <v>23.645430000000001</v>
      </c>
    </row>
    <row r="6" spans="1:2" x14ac:dyDescent="0.3">
      <c r="A6">
        <v>2013</v>
      </c>
      <c r="B6">
        <v>25.67642</v>
      </c>
    </row>
    <row r="7" spans="1:2" x14ac:dyDescent="0.3">
      <c r="A7">
        <v>2014</v>
      </c>
      <c r="B7">
        <v>28.397369999999999</v>
      </c>
    </row>
    <row r="8" spans="1:2" x14ac:dyDescent="0.3">
      <c r="A8">
        <v>2015</v>
      </c>
      <c r="B8">
        <v>23.841999999999999</v>
      </c>
    </row>
    <row r="9" spans="1:2" x14ac:dyDescent="0.3">
      <c r="A9">
        <v>2016</v>
      </c>
      <c r="B9">
        <v>25.51078</v>
      </c>
    </row>
    <row r="10" spans="1:2" x14ac:dyDescent="0.3">
      <c r="A10">
        <v>2017</v>
      </c>
      <c r="B10">
        <v>26.27392</v>
      </c>
    </row>
    <row r="11" spans="1:2" x14ac:dyDescent="0.3">
      <c r="A11">
        <v>2018</v>
      </c>
      <c r="B11">
        <v>26.264800000000001</v>
      </c>
    </row>
    <row r="12" spans="1:2" x14ac:dyDescent="0.3">
      <c r="A12">
        <v>2019</v>
      </c>
      <c r="B12">
        <v>23.618230000000001</v>
      </c>
    </row>
  </sheetData>
  <mergeCells count="1">
    <mergeCell ref="A1:XFD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8570-F53C-4A29-8E33-EA2996F695B9}">
  <sheetPr codeName="Sheet25"/>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2784</v>
      </c>
    </row>
    <row r="2" spans="1:3" s="5" customFormat="1" x14ac:dyDescent="0.3">
      <c r="A2" s="5" t="s">
        <v>2751</v>
      </c>
      <c r="B2" s="5" t="s">
        <v>107</v>
      </c>
      <c r="C2" s="5" t="s">
        <v>2752</v>
      </c>
    </row>
    <row r="3" spans="1:3" x14ac:dyDescent="0.3">
      <c r="A3">
        <v>2010</v>
      </c>
      <c r="B3">
        <v>1</v>
      </c>
      <c r="C3">
        <v>7</v>
      </c>
    </row>
    <row r="4" spans="1:3" x14ac:dyDescent="0.3">
      <c r="A4">
        <v>2011</v>
      </c>
      <c r="B4">
        <v>0</v>
      </c>
      <c r="C4">
        <v>5</v>
      </c>
    </row>
    <row r="5" spans="1:3" x14ac:dyDescent="0.3">
      <c r="A5">
        <v>2012</v>
      </c>
      <c r="B5">
        <v>3</v>
      </c>
      <c r="C5">
        <v>11</v>
      </c>
    </row>
    <row r="6" spans="1:3" x14ac:dyDescent="0.3">
      <c r="A6">
        <v>2013</v>
      </c>
      <c r="B6">
        <v>4</v>
      </c>
      <c r="C6">
        <v>7</v>
      </c>
    </row>
    <row r="7" spans="1:3" x14ac:dyDescent="0.3">
      <c r="A7">
        <v>2014</v>
      </c>
      <c r="B7">
        <v>3</v>
      </c>
      <c r="C7">
        <v>5</v>
      </c>
    </row>
    <row r="8" spans="1:3" x14ac:dyDescent="0.3">
      <c r="A8">
        <v>2015</v>
      </c>
      <c r="B8">
        <v>0</v>
      </c>
      <c r="C8">
        <v>4</v>
      </c>
    </row>
    <row r="9" spans="1:3" x14ac:dyDescent="0.3">
      <c r="A9">
        <v>2016</v>
      </c>
      <c r="B9">
        <v>0</v>
      </c>
      <c r="C9">
        <v>1</v>
      </c>
    </row>
    <row r="10" spans="1:3" x14ac:dyDescent="0.3">
      <c r="A10">
        <v>2017</v>
      </c>
      <c r="B10">
        <v>0</v>
      </c>
      <c r="C10">
        <v>1</v>
      </c>
    </row>
    <row r="11" spans="1:3" x14ac:dyDescent="0.3">
      <c r="A11">
        <v>2018</v>
      </c>
      <c r="B11">
        <v>0</v>
      </c>
      <c r="C11">
        <v>3</v>
      </c>
    </row>
    <row r="12" spans="1:3" x14ac:dyDescent="0.3">
      <c r="A12">
        <v>2019</v>
      </c>
      <c r="B12">
        <v>2</v>
      </c>
      <c r="C12">
        <v>4</v>
      </c>
    </row>
  </sheetData>
  <mergeCells count="1">
    <mergeCell ref="A1:XFD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DB75-8921-4B63-AA6F-55AE5EA2AEB0}">
  <sheetPr codeName="Sheet26"/>
  <dimension ref="A1:C12"/>
  <sheetViews>
    <sheetView workbookViewId="0">
      <selection sqref="A1:XFD1"/>
    </sheetView>
  </sheetViews>
  <sheetFormatPr defaultRowHeight="14.4" x14ac:dyDescent="0.3"/>
  <cols>
    <col min="1" max="1" width="12.88671875" bestFit="1" customWidth="1"/>
    <col min="2" max="3" width="12" bestFit="1" customWidth="1"/>
  </cols>
  <sheetData>
    <row r="1" spans="1:3" s="9" customFormat="1" x14ac:dyDescent="0.3">
      <c r="A1" s="8" t="s">
        <v>2785</v>
      </c>
    </row>
    <row r="2" spans="1:3" s="5" customFormat="1" x14ac:dyDescent="0.3">
      <c r="A2" s="5" t="s">
        <v>2751</v>
      </c>
      <c r="B2" s="5" t="s">
        <v>107</v>
      </c>
      <c r="C2" s="5" t="s">
        <v>2752</v>
      </c>
    </row>
    <row r="3" spans="1:3" x14ac:dyDescent="0.3">
      <c r="A3">
        <v>2010</v>
      </c>
      <c r="B3">
        <v>3.7093308960556459E-2</v>
      </c>
      <c r="C3">
        <v>0.25965316272389521</v>
      </c>
    </row>
    <row r="4" spans="1:3" x14ac:dyDescent="0.3">
      <c r="A4" s="7" t="s">
        <v>2815</v>
      </c>
    </row>
    <row r="5" spans="1:3" x14ac:dyDescent="0.3">
      <c r="A5">
        <v>2012</v>
      </c>
      <c r="B5">
        <v>0.12687441082695472</v>
      </c>
      <c r="C5">
        <v>0.46520617303216727</v>
      </c>
    </row>
    <row r="6" spans="1:3" x14ac:dyDescent="0.3">
      <c r="A6">
        <v>2013</v>
      </c>
      <c r="B6">
        <v>0.15578495756028293</v>
      </c>
      <c r="C6">
        <v>0.27262367573049512</v>
      </c>
    </row>
    <row r="7" spans="1:3" x14ac:dyDescent="0.3">
      <c r="A7">
        <v>2014</v>
      </c>
      <c r="B7">
        <v>0.1056435860081409</v>
      </c>
      <c r="C7">
        <v>0.17607264334690151</v>
      </c>
    </row>
    <row r="8" spans="1:3" x14ac:dyDescent="0.3">
      <c r="A8">
        <v>2015</v>
      </c>
      <c r="B8">
        <v>0</v>
      </c>
      <c r="C8">
        <v>0.16777116013757237</v>
      </c>
    </row>
    <row r="9" spans="1:3" x14ac:dyDescent="0.3">
      <c r="A9">
        <v>2016</v>
      </c>
      <c r="B9">
        <v>0</v>
      </c>
      <c r="C9">
        <v>3.9199115040778838E-2</v>
      </c>
    </row>
    <row r="10" spans="1:3" x14ac:dyDescent="0.3">
      <c r="A10">
        <v>2017</v>
      </c>
      <c r="B10">
        <v>0</v>
      </c>
      <c r="C10">
        <v>3.8060555866806324E-2</v>
      </c>
    </row>
    <row r="11" spans="1:3" x14ac:dyDescent="0.3">
      <c r="A11">
        <v>2018</v>
      </c>
      <c r="B11">
        <v>0</v>
      </c>
      <c r="C11">
        <v>0.11422131522037099</v>
      </c>
    </row>
    <row r="12" spans="1:3" x14ac:dyDescent="0.3">
      <c r="A12">
        <v>2019</v>
      </c>
      <c r="B12">
        <v>8.4680350729076648E-2</v>
      </c>
      <c r="C12">
        <v>0.1693607014581533</v>
      </c>
    </row>
  </sheetData>
  <mergeCells count="1">
    <mergeCell ref="A1:XFD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CC16-4774-40A5-B153-0B41532C7D1A}">
  <sheetPr codeName="Sheet27"/>
  <dimension ref="A1:C6"/>
  <sheetViews>
    <sheetView workbookViewId="0">
      <selection sqref="A1:XFD1"/>
    </sheetView>
  </sheetViews>
  <sheetFormatPr defaultRowHeight="14.4" x14ac:dyDescent="0.3"/>
  <cols>
    <col min="1" max="1" width="23.109375" bestFit="1" customWidth="1"/>
    <col min="2" max="2" width="5.6640625" bestFit="1" customWidth="1"/>
    <col min="3" max="3" width="9.6640625" bestFit="1" customWidth="1"/>
  </cols>
  <sheetData>
    <row r="1" spans="1:3" s="9" customFormat="1" x14ac:dyDescent="0.3">
      <c r="A1" s="8" t="s">
        <v>2786</v>
      </c>
    </row>
    <row r="2" spans="1:3" s="5" customFormat="1" x14ac:dyDescent="0.3">
      <c r="A2" s="5" t="s">
        <v>2758</v>
      </c>
      <c r="B2" s="5" t="s">
        <v>107</v>
      </c>
      <c r="C2" s="5" t="s">
        <v>2759</v>
      </c>
    </row>
    <row r="3" spans="1:3" x14ac:dyDescent="0.3">
      <c r="A3" t="s">
        <v>279</v>
      </c>
      <c r="B3">
        <v>1</v>
      </c>
      <c r="C3">
        <v>0</v>
      </c>
    </row>
    <row r="4" spans="1:3" x14ac:dyDescent="0.3">
      <c r="A4" t="s">
        <v>109</v>
      </c>
      <c r="B4">
        <v>0</v>
      </c>
      <c r="C4">
        <v>1</v>
      </c>
    </row>
    <row r="5" spans="1:3" x14ac:dyDescent="0.3">
      <c r="A5" t="s">
        <v>499</v>
      </c>
      <c r="B5">
        <v>0</v>
      </c>
      <c r="C5">
        <v>1</v>
      </c>
    </row>
    <row r="6" spans="1:3" x14ac:dyDescent="0.3">
      <c r="A6" t="s">
        <v>381</v>
      </c>
      <c r="B6">
        <v>1</v>
      </c>
      <c r="C6">
        <v>0</v>
      </c>
    </row>
  </sheetData>
  <mergeCells count="1">
    <mergeCell ref="A1:XFD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0EB6-AFC1-4A39-ACD1-E896546F5A01}">
  <sheetPr codeName="Sheet28"/>
  <dimension ref="A1:C5"/>
  <sheetViews>
    <sheetView workbookViewId="0">
      <selection sqref="A1:XFD1"/>
    </sheetView>
  </sheetViews>
  <sheetFormatPr defaultRowHeight="14.4" x14ac:dyDescent="0.3"/>
  <cols>
    <col min="1" max="1" width="13.5546875" bestFit="1" customWidth="1"/>
    <col min="2" max="2" width="5.6640625" bestFit="1" customWidth="1"/>
    <col min="3" max="3" width="9.6640625" bestFit="1" customWidth="1"/>
  </cols>
  <sheetData>
    <row r="1" spans="1:3" s="9" customFormat="1" x14ac:dyDescent="0.3">
      <c r="A1" s="8" t="s">
        <v>2787</v>
      </c>
    </row>
    <row r="2" spans="1:3" s="5" customFormat="1" x14ac:dyDescent="0.3">
      <c r="A2" s="5" t="s">
        <v>2761</v>
      </c>
      <c r="B2" s="5" t="s">
        <v>107</v>
      </c>
      <c r="C2" s="5" t="s">
        <v>2759</v>
      </c>
    </row>
    <row r="3" spans="1:3" x14ac:dyDescent="0.3">
      <c r="A3" t="s">
        <v>95</v>
      </c>
      <c r="B3">
        <v>0</v>
      </c>
      <c r="C3">
        <v>2</v>
      </c>
    </row>
    <row r="4" spans="1:3" x14ac:dyDescent="0.3">
      <c r="A4" t="s">
        <v>103</v>
      </c>
      <c r="B4">
        <v>1</v>
      </c>
      <c r="C4">
        <v>0</v>
      </c>
    </row>
    <row r="5" spans="1:3" x14ac:dyDescent="0.3">
      <c r="A5" t="s">
        <v>248</v>
      </c>
      <c r="B5">
        <v>1</v>
      </c>
      <c r="C5">
        <v>0</v>
      </c>
    </row>
  </sheetData>
  <mergeCells count="1">
    <mergeCell ref="A1:XFD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9096-EB11-40B1-B4FF-73D5176E7D54}">
  <sheetPr codeName="Sheet29"/>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2788</v>
      </c>
    </row>
    <row r="2" spans="1:3" s="5" customFormat="1" x14ac:dyDescent="0.3">
      <c r="A2" s="5" t="s">
        <v>2751</v>
      </c>
      <c r="B2" s="5" t="s">
        <v>107</v>
      </c>
      <c r="C2" s="5" t="s">
        <v>2752</v>
      </c>
    </row>
    <row r="3" spans="1:3" x14ac:dyDescent="0.3">
      <c r="A3">
        <v>2010</v>
      </c>
      <c r="B3">
        <v>5</v>
      </c>
      <c r="C3">
        <v>25</v>
      </c>
    </row>
    <row r="4" spans="1:3" x14ac:dyDescent="0.3">
      <c r="A4">
        <v>2011</v>
      </c>
      <c r="B4">
        <v>2</v>
      </c>
      <c r="C4">
        <v>16</v>
      </c>
    </row>
    <row r="5" spans="1:3" x14ac:dyDescent="0.3">
      <c r="A5">
        <v>2012</v>
      </c>
      <c r="B5">
        <v>5</v>
      </c>
      <c r="C5">
        <v>24</v>
      </c>
    </row>
    <row r="6" spans="1:3" x14ac:dyDescent="0.3">
      <c r="A6">
        <v>2013</v>
      </c>
      <c r="B6">
        <v>3</v>
      </c>
      <c r="C6">
        <v>14</v>
      </c>
    </row>
    <row r="7" spans="1:3" x14ac:dyDescent="0.3">
      <c r="A7">
        <v>2014</v>
      </c>
      <c r="B7">
        <v>3</v>
      </c>
      <c r="C7">
        <v>26</v>
      </c>
    </row>
    <row r="8" spans="1:3" x14ac:dyDescent="0.3">
      <c r="A8">
        <v>2015</v>
      </c>
      <c r="B8">
        <v>3</v>
      </c>
      <c r="C8">
        <v>8</v>
      </c>
    </row>
    <row r="9" spans="1:3" x14ac:dyDescent="0.3">
      <c r="A9">
        <v>2016</v>
      </c>
      <c r="B9">
        <v>4</v>
      </c>
      <c r="C9">
        <v>17</v>
      </c>
    </row>
    <row r="10" spans="1:3" x14ac:dyDescent="0.3">
      <c r="A10">
        <v>2017</v>
      </c>
      <c r="B10">
        <v>1</v>
      </c>
      <c r="C10">
        <v>11</v>
      </c>
    </row>
    <row r="11" spans="1:3" x14ac:dyDescent="0.3">
      <c r="A11">
        <v>2018</v>
      </c>
      <c r="B11">
        <v>0</v>
      </c>
      <c r="C11">
        <v>8</v>
      </c>
    </row>
    <row r="12" spans="1:3" x14ac:dyDescent="0.3">
      <c r="A12">
        <v>2019</v>
      </c>
      <c r="B12">
        <v>1</v>
      </c>
      <c r="C12">
        <v>10</v>
      </c>
    </row>
  </sheetData>
  <mergeCells count="1">
    <mergeCell ref="A1:XF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C0691-EC69-412F-A681-7AE4B3B4F36C}">
  <sheetPr codeName="Sheet3"/>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2750</v>
      </c>
    </row>
    <row r="2" spans="1:3" s="5" customFormat="1" x14ac:dyDescent="0.3">
      <c r="A2" s="5" t="s">
        <v>2751</v>
      </c>
      <c r="B2" s="5" t="s">
        <v>107</v>
      </c>
      <c r="C2" s="5" t="s">
        <v>2752</v>
      </c>
    </row>
    <row r="3" spans="1:3" x14ac:dyDescent="0.3">
      <c r="A3">
        <v>2010</v>
      </c>
      <c r="B3">
        <v>271</v>
      </c>
      <c r="C3">
        <v>1441</v>
      </c>
    </row>
    <row r="4" spans="1:3" x14ac:dyDescent="0.3">
      <c r="A4">
        <v>2011</v>
      </c>
      <c r="B4">
        <v>270</v>
      </c>
      <c r="C4">
        <v>1471</v>
      </c>
    </row>
    <row r="5" spans="1:3" x14ac:dyDescent="0.3">
      <c r="A5">
        <v>2012</v>
      </c>
      <c r="B5">
        <v>273</v>
      </c>
      <c r="C5">
        <v>1471</v>
      </c>
    </row>
    <row r="6" spans="1:3" x14ac:dyDescent="0.3">
      <c r="A6">
        <v>2013</v>
      </c>
      <c r="B6">
        <v>221</v>
      </c>
      <c r="C6">
        <v>1223</v>
      </c>
    </row>
    <row r="7" spans="1:3" x14ac:dyDescent="0.3">
      <c r="A7">
        <v>2014</v>
      </c>
      <c r="B7">
        <v>255</v>
      </c>
      <c r="C7">
        <v>1222</v>
      </c>
    </row>
    <row r="8" spans="1:3" x14ac:dyDescent="0.3">
      <c r="A8">
        <v>2015</v>
      </c>
      <c r="B8">
        <v>230</v>
      </c>
      <c r="C8">
        <v>1211</v>
      </c>
    </row>
    <row r="9" spans="1:3" x14ac:dyDescent="0.3">
      <c r="A9">
        <v>2016</v>
      </c>
      <c r="B9">
        <v>213</v>
      </c>
      <c r="C9">
        <v>1269</v>
      </c>
    </row>
    <row r="10" spans="1:3" x14ac:dyDescent="0.3">
      <c r="A10">
        <v>2017</v>
      </c>
      <c r="B10">
        <v>203</v>
      </c>
      <c r="C10">
        <v>1234</v>
      </c>
    </row>
    <row r="11" spans="1:3" x14ac:dyDescent="0.3">
      <c r="A11">
        <v>2018</v>
      </c>
      <c r="B11">
        <v>224</v>
      </c>
      <c r="C11">
        <v>1275</v>
      </c>
    </row>
    <row r="12" spans="1:3" x14ac:dyDescent="0.3">
      <c r="A12">
        <v>2019</v>
      </c>
      <c r="B12">
        <v>233</v>
      </c>
      <c r="C12">
        <v>1220</v>
      </c>
    </row>
  </sheetData>
  <mergeCells count="1">
    <mergeCell ref="A1:XFD1"/>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0BC23-1CF7-415C-938B-E20920DBEB43}">
  <sheetPr codeName="Sheet30"/>
  <dimension ref="A1:C8"/>
  <sheetViews>
    <sheetView workbookViewId="0">
      <selection sqref="A1:XFD1"/>
    </sheetView>
  </sheetViews>
  <sheetFormatPr defaultRowHeight="14.4" x14ac:dyDescent="0.3"/>
  <cols>
    <col min="1" max="1" width="34.5546875" bestFit="1" customWidth="1"/>
    <col min="2" max="2" width="5.6640625" bestFit="1" customWidth="1"/>
    <col min="3" max="3" width="9.6640625" bestFit="1" customWidth="1"/>
  </cols>
  <sheetData>
    <row r="1" spans="1:3" s="9" customFormat="1" x14ac:dyDescent="0.3">
      <c r="A1" s="8" t="s">
        <v>2789</v>
      </c>
    </row>
    <row r="2" spans="1:3" s="5" customFormat="1" x14ac:dyDescent="0.3">
      <c r="A2" s="5" t="s">
        <v>2758</v>
      </c>
      <c r="B2" s="5" t="s">
        <v>107</v>
      </c>
      <c r="C2" s="5" t="s">
        <v>2759</v>
      </c>
    </row>
    <row r="3" spans="1:3" x14ac:dyDescent="0.3">
      <c r="A3" t="s">
        <v>159</v>
      </c>
      <c r="B3">
        <v>1</v>
      </c>
      <c r="C3">
        <v>2</v>
      </c>
    </row>
    <row r="4" spans="1:3" x14ac:dyDescent="0.3">
      <c r="A4" t="s">
        <v>94</v>
      </c>
      <c r="B4">
        <v>0</v>
      </c>
      <c r="C4">
        <v>3</v>
      </c>
    </row>
    <row r="5" spans="1:3" x14ac:dyDescent="0.3">
      <c r="A5" t="s">
        <v>109</v>
      </c>
      <c r="B5">
        <v>0</v>
      </c>
      <c r="C5">
        <v>1</v>
      </c>
    </row>
    <row r="6" spans="1:3" x14ac:dyDescent="0.3">
      <c r="A6" t="s">
        <v>332</v>
      </c>
      <c r="B6">
        <v>0</v>
      </c>
      <c r="C6">
        <v>1</v>
      </c>
    </row>
    <row r="7" spans="1:3" x14ac:dyDescent="0.3">
      <c r="A7" t="s">
        <v>1881</v>
      </c>
      <c r="B7">
        <v>0</v>
      </c>
      <c r="C7">
        <v>1</v>
      </c>
    </row>
    <row r="8" spans="1:3" x14ac:dyDescent="0.3">
      <c r="A8" t="s">
        <v>442</v>
      </c>
      <c r="B8">
        <v>0</v>
      </c>
      <c r="C8">
        <v>1</v>
      </c>
    </row>
  </sheetData>
  <mergeCells count="1">
    <mergeCell ref="A1:XFD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714D2-B92E-4D49-8CEC-3886FE420873}">
  <sheetPr codeName="Sheet31"/>
  <dimension ref="A1:C7"/>
  <sheetViews>
    <sheetView workbookViewId="0">
      <selection sqref="A1:XFD1"/>
    </sheetView>
  </sheetViews>
  <sheetFormatPr defaultRowHeight="14.4" x14ac:dyDescent="0.3"/>
  <cols>
    <col min="1" max="1" width="13.5546875" bestFit="1" customWidth="1"/>
    <col min="2" max="2" width="5.6640625" bestFit="1" customWidth="1"/>
    <col min="3" max="3" width="9.6640625" bestFit="1" customWidth="1"/>
  </cols>
  <sheetData>
    <row r="1" spans="1:3" s="9" customFormat="1" x14ac:dyDescent="0.3">
      <c r="A1" s="8" t="s">
        <v>2790</v>
      </c>
    </row>
    <row r="2" spans="1:3" s="5" customFormat="1" x14ac:dyDescent="0.3">
      <c r="A2" s="5" t="s">
        <v>2761</v>
      </c>
      <c r="B2" s="5" t="s">
        <v>107</v>
      </c>
      <c r="C2" s="5" t="s">
        <v>2759</v>
      </c>
    </row>
    <row r="3" spans="1:3" x14ac:dyDescent="0.3">
      <c r="A3" t="s">
        <v>103</v>
      </c>
      <c r="B3">
        <v>1</v>
      </c>
      <c r="C3">
        <v>4</v>
      </c>
    </row>
    <row r="4" spans="1:3" x14ac:dyDescent="0.3">
      <c r="A4" t="s">
        <v>95</v>
      </c>
      <c r="B4">
        <v>0</v>
      </c>
      <c r="C4">
        <v>2</v>
      </c>
    </row>
    <row r="5" spans="1:3" x14ac:dyDescent="0.3">
      <c r="A5" t="s">
        <v>186</v>
      </c>
      <c r="B5">
        <v>0</v>
      </c>
      <c r="C5">
        <v>1</v>
      </c>
    </row>
    <row r="6" spans="1:3" x14ac:dyDescent="0.3">
      <c r="A6" t="s">
        <v>150</v>
      </c>
      <c r="B6">
        <v>0</v>
      </c>
      <c r="C6">
        <v>1</v>
      </c>
    </row>
    <row r="7" spans="1:3" x14ac:dyDescent="0.3">
      <c r="A7" t="s">
        <v>222</v>
      </c>
      <c r="B7">
        <v>0</v>
      </c>
      <c r="C7">
        <v>1</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657F0-FC5C-42DB-9951-6D464A2C0383}">
  <sheetPr codeName="Sheet4"/>
  <dimension ref="A1:C12"/>
  <sheetViews>
    <sheetView workbookViewId="0">
      <selection sqref="A1:XFD1"/>
    </sheetView>
  </sheetViews>
  <sheetFormatPr defaultRowHeight="14.4" x14ac:dyDescent="0.3"/>
  <cols>
    <col min="1" max="1" width="12.88671875" bestFit="1" customWidth="1"/>
    <col min="2" max="3" width="12" bestFit="1" customWidth="1"/>
  </cols>
  <sheetData>
    <row r="1" spans="1:3" s="9" customFormat="1" x14ac:dyDescent="0.3">
      <c r="A1" s="8" t="s">
        <v>2753</v>
      </c>
    </row>
    <row r="2" spans="1:3" s="5" customFormat="1" x14ac:dyDescent="0.3">
      <c r="A2" s="5" t="s">
        <v>2751</v>
      </c>
      <c r="B2" s="5" t="s">
        <v>107</v>
      </c>
      <c r="C2" s="5" t="s">
        <v>2752</v>
      </c>
    </row>
    <row r="3" spans="1:3" x14ac:dyDescent="0.3">
      <c r="A3">
        <v>2010</v>
      </c>
      <c r="B3">
        <v>1.2402938362145421</v>
      </c>
      <c r="C3">
        <v>6.630269652329039</v>
      </c>
    </row>
    <row r="4" spans="1:3" x14ac:dyDescent="0.3">
      <c r="A4" s="7" t="s">
        <v>2815</v>
      </c>
    </row>
    <row r="5" spans="1:3" x14ac:dyDescent="0.3">
      <c r="A5">
        <v>2012</v>
      </c>
      <c r="B5">
        <v>1.3026200430219006</v>
      </c>
      <c r="C5">
        <v>7.0398950854492428</v>
      </c>
    </row>
    <row r="6" spans="1:3" x14ac:dyDescent="0.3">
      <c r="A6">
        <v>2013</v>
      </c>
      <c r="B6">
        <v>1.1183871257019931</v>
      </c>
      <c r="C6">
        <v>6.2588637309928057</v>
      </c>
    </row>
    <row r="7" spans="1:3" x14ac:dyDescent="0.3">
      <c r="A7">
        <v>2014</v>
      </c>
      <c r="B7">
        <v>1.2998671739648942</v>
      </c>
      <c r="C7">
        <v>6.2291673983729439</v>
      </c>
    </row>
    <row r="8" spans="1:3" x14ac:dyDescent="0.3">
      <c r="A8">
        <v>2015</v>
      </c>
      <c r="B8">
        <v>1.0983631861319303</v>
      </c>
      <c r="C8">
        <v>5.85145697390639</v>
      </c>
    </row>
    <row r="9" spans="1:3" x14ac:dyDescent="0.3">
      <c r="A9">
        <v>2016</v>
      </c>
      <c r="B9">
        <v>0.98435591272362988</v>
      </c>
      <c r="C9">
        <v>5.9342599309910256</v>
      </c>
    </row>
    <row r="10" spans="1:3" x14ac:dyDescent="0.3">
      <c r="A10">
        <v>2017</v>
      </c>
      <c r="B10">
        <v>0.93536666995504114</v>
      </c>
      <c r="C10">
        <v>5.6767080659340428</v>
      </c>
    </row>
    <row r="11" spans="1:3" x14ac:dyDescent="0.3">
      <c r="A11">
        <v>2018</v>
      </c>
      <c r="B11">
        <v>1.0247714494242746</v>
      </c>
      <c r="C11">
        <v>5.8716634399444922</v>
      </c>
    </row>
    <row r="12" spans="1:3" x14ac:dyDescent="0.3">
      <c r="A12">
        <v>2019</v>
      </c>
      <c r="B12">
        <v>1.064186549333372</v>
      </c>
      <c r="C12">
        <v>5.5869793840002027</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B00F-3068-428D-BE56-2AC1BB940875}">
  <sheetPr codeName="Sheet5"/>
  <dimension ref="A1:G21"/>
  <sheetViews>
    <sheetView workbookViewId="0">
      <selection sqref="A1:XFD1"/>
    </sheetView>
  </sheetViews>
  <sheetFormatPr defaultRowHeight="14.4" x14ac:dyDescent="0.3"/>
  <cols>
    <col min="1" max="1" width="18.109375" bestFit="1" customWidth="1"/>
    <col min="2" max="2" width="10.77734375" bestFit="1" customWidth="1"/>
    <col min="3" max="3" width="9.88671875" bestFit="1" customWidth="1"/>
    <col min="4" max="4" width="6.44140625" bestFit="1" customWidth="1"/>
    <col min="5" max="5" width="7.6640625" bestFit="1" customWidth="1"/>
    <col min="6" max="6" width="6.33203125" bestFit="1" customWidth="1"/>
    <col min="7" max="7" width="5.77734375" bestFit="1" customWidth="1"/>
  </cols>
  <sheetData>
    <row r="1" spans="1:7" s="9" customFormat="1" x14ac:dyDescent="0.3">
      <c r="A1" s="8" t="s">
        <v>2754</v>
      </c>
    </row>
    <row r="2" spans="1:7" s="5" customFormat="1" x14ac:dyDescent="0.3">
      <c r="A2" s="5" t="s">
        <v>2755</v>
      </c>
      <c r="B2" s="5" t="s">
        <v>2756</v>
      </c>
      <c r="C2" s="5" t="s">
        <v>100</v>
      </c>
      <c r="D2" s="5" t="s">
        <v>893</v>
      </c>
      <c r="E2" s="5" t="s">
        <v>670</v>
      </c>
      <c r="F2" s="5" t="s">
        <v>442</v>
      </c>
      <c r="G2" s="5" t="s">
        <v>2752</v>
      </c>
    </row>
    <row r="3" spans="1:7" x14ac:dyDescent="0.3">
      <c r="A3" t="s">
        <v>108</v>
      </c>
      <c r="B3">
        <v>743</v>
      </c>
      <c r="C3">
        <v>29</v>
      </c>
      <c r="D3">
        <v>18</v>
      </c>
      <c r="E3">
        <v>2</v>
      </c>
      <c r="F3">
        <v>17</v>
      </c>
      <c r="G3">
        <v>809</v>
      </c>
    </row>
    <row r="4" spans="1:7" x14ac:dyDescent="0.3">
      <c r="A4" t="s">
        <v>93</v>
      </c>
      <c r="B4">
        <v>178</v>
      </c>
      <c r="C4">
        <v>19</v>
      </c>
      <c r="D4">
        <v>1</v>
      </c>
      <c r="E4">
        <v>0</v>
      </c>
      <c r="F4">
        <v>1</v>
      </c>
      <c r="G4">
        <v>199</v>
      </c>
    </row>
    <row r="5" spans="1:7" x14ac:dyDescent="0.3">
      <c r="A5" t="s">
        <v>515</v>
      </c>
      <c r="B5">
        <v>36</v>
      </c>
      <c r="C5">
        <v>24</v>
      </c>
      <c r="D5">
        <v>0</v>
      </c>
      <c r="E5">
        <v>0</v>
      </c>
      <c r="F5">
        <v>0</v>
      </c>
      <c r="G5">
        <v>60</v>
      </c>
    </row>
    <row r="6" spans="1:7" x14ac:dyDescent="0.3">
      <c r="A6" t="s">
        <v>173</v>
      </c>
      <c r="B6">
        <v>28</v>
      </c>
      <c r="C6">
        <v>4</v>
      </c>
      <c r="D6">
        <v>0</v>
      </c>
      <c r="E6">
        <v>7</v>
      </c>
      <c r="F6">
        <v>0</v>
      </c>
      <c r="G6">
        <v>39</v>
      </c>
    </row>
    <row r="7" spans="1:7" x14ac:dyDescent="0.3">
      <c r="A7" t="s">
        <v>418</v>
      </c>
      <c r="B7">
        <v>18</v>
      </c>
      <c r="C7">
        <v>3</v>
      </c>
      <c r="D7">
        <v>0</v>
      </c>
      <c r="E7">
        <v>0</v>
      </c>
      <c r="F7">
        <v>2</v>
      </c>
      <c r="G7">
        <v>23</v>
      </c>
    </row>
    <row r="8" spans="1:7" x14ac:dyDescent="0.3">
      <c r="A8" t="s">
        <v>101</v>
      </c>
      <c r="B8">
        <v>11</v>
      </c>
      <c r="C8">
        <v>6</v>
      </c>
      <c r="D8">
        <v>0</v>
      </c>
      <c r="E8">
        <v>2</v>
      </c>
      <c r="F8">
        <v>0</v>
      </c>
      <c r="G8">
        <v>19</v>
      </c>
    </row>
    <row r="9" spans="1:7" x14ac:dyDescent="0.3">
      <c r="A9" t="s">
        <v>166</v>
      </c>
      <c r="B9">
        <v>13</v>
      </c>
      <c r="C9">
        <v>5</v>
      </c>
      <c r="D9">
        <v>0</v>
      </c>
      <c r="E9">
        <v>0</v>
      </c>
      <c r="F9">
        <v>0</v>
      </c>
      <c r="G9">
        <v>18</v>
      </c>
    </row>
    <row r="10" spans="1:7" x14ac:dyDescent="0.3">
      <c r="A10" t="s">
        <v>170</v>
      </c>
      <c r="B10">
        <v>7</v>
      </c>
      <c r="C10">
        <v>8</v>
      </c>
      <c r="D10">
        <v>0</v>
      </c>
      <c r="E10">
        <v>0</v>
      </c>
      <c r="F10">
        <v>0</v>
      </c>
      <c r="G10">
        <v>15</v>
      </c>
    </row>
    <row r="11" spans="1:7" x14ac:dyDescent="0.3">
      <c r="A11" t="s">
        <v>295</v>
      </c>
      <c r="B11">
        <v>3</v>
      </c>
      <c r="C11">
        <v>7</v>
      </c>
      <c r="D11">
        <v>0</v>
      </c>
      <c r="E11">
        <v>0</v>
      </c>
      <c r="F11">
        <v>0</v>
      </c>
      <c r="G11">
        <v>10</v>
      </c>
    </row>
    <row r="12" spans="1:7" x14ac:dyDescent="0.3">
      <c r="A12" t="s">
        <v>433</v>
      </c>
      <c r="B12">
        <v>4</v>
      </c>
      <c r="C12">
        <v>1</v>
      </c>
      <c r="D12">
        <v>0</v>
      </c>
      <c r="E12">
        <v>0</v>
      </c>
      <c r="F12">
        <v>0</v>
      </c>
      <c r="G12">
        <v>5</v>
      </c>
    </row>
    <row r="13" spans="1:7" x14ac:dyDescent="0.3">
      <c r="A13" t="s">
        <v>1357</v>
      </c>
      <c r="B13">
        <v>4</v>
      </c>
      <c r="C13">
        <v>0</v>
      </c>
      <c r="D13">
        <v>0</v>
      </c>
      <c r="E13">
        <v>0</v>
      </c>
      <c r="F13">
        <v>0</v>
      </c>
      <c r="G13">
        <v>4</v>
      </c>
    </row>
    <row r="14" spans="1:7" x14ac:dyDescent="0.3">
      <c r="A14" t="s">
        <v>463</v>
      </c>
      <c r="B14">
        <v>0</v>
      </c>
      <c r="C14">
        <v>4</v>
      </c>
      <c r="D14">
        <v>0</v>
      </c>
      <c r="E14">
        <v>0</v>
      </c>
      <c r="F14">
        <v>0</v>
      </c>
      <c r="G14">
        <v>4</v>
      </c>
    </row>
    <row r="15" spans="1:7" x14ac:dyDescent="0.3">
      <c r="A15" t="s">
        <v>498</v>
      </c>
      <c r="B15">
        <v>3</v>
      </c>
      <c r="C15">
        <v>1</v>
      </c>
      <c r="D15">
        <v>0</v>
      </c>
      <c r="E15">
        <v>0</v>
      </c>
      <c r="F15">
        <v>0</v>
      </c>
      <c r="G15">
        <v>4</v>
      </c>
    </row>
    <row r="16" spans="1:7" x14ac:dyDescent="0.3">
      <c r="A16" t="s">
        <v>2124</v>
      </c>
      <c r="B16">
        <v>2</v>
      </c>
      <c r="C16">
        <v>0</v>
      </c>
      <c r="D16">
        <v>0</v>
      </c>
      <c r="E16">
        <v>1</v>
      </c>
      <c r="F16">
        <v>0</v>
      </c>
      <c r="G16">
        <v>3</v>
      </c>
    </row>
    <row r="17" spans="1:7" x14ac:dyDescent="0.3">
      <c r="A17" t="s">
        <v>441</v>
      </c>
      <c r="B17">
        <v>3</v>
      </c>
      <c r="C17">
        <v>0</v>
      </c>
      <c r="D17">
        <v>0</v>
      </c>
      <c r="E17">
        <v>0</v>
      </c>
      <c r="F17">
        <v>0</v>
      </c>
      <c r="G17">
        <v>3</v>
      </c>
    </row>
    <row r="18" spans="1:7" x14ac:dyDescent="0.3">
      <c r="A18" t="s">
        <v>1637</v>
      </c>
      <c r="B18">
        <v>0</v>
      </c>
      <c r="C18">
        <v>0</v>
      </c>
      <c r="D18">
        <v>2</v>
      </c>
      <c r="E18">
        <v>0</v>
      </c>
      <c r="F18">
        <v>0</v>
      </c>
      <c r="G18">
        <v>2</v>
      </c>
    </row>
    <row r="19" spans="1:7" x14ac:dyDescent="0.3">
      <c r="A19" t="s">
        <v>1245</v>
      </c>
      <c r="B19">
        <v>1</v>
      </c>
      <c r="C19">
        <v>0</v>
      </c>
      <c r="D19">
        <v>0</v>
      </c>
      <c r="E19">
        <v>0</v>
      </c>
      <c r="F19">
        <v>0</v>
      </c>
      <c r="G19">
        <v>1</v>
      </c>
    </row>
    <row r="20" spans="1:7" x14ac:dyDescent="0.3">
      <c r="A20" t="s">
        <v>381</v>
      </c>
      <c r="B20">
        <v>15</v>
      </c>
      <c r="C20">
        <v>1</v>
      </c>
      <c r="D20">
        <v>0</v>
      </c>
      <c r="E20">
        <v>0</v>
      </c>
      <c r="F20">
        <v>0</v>
      </c>
      <c r="G20">
        <v>16</v>
      </c>
    </row>
    <row r="21" spans="1:7" x14ac:dyDescent="0.3">
      <c r="A21" t="s">
        <v>2752</v>
      </c>
      <c r="B21">
        <v>1069</v>
      </c>
      <c r="C21">
        <v>112</v>
      </c>
      <c r="D21">
        <v>21</v>
      </c>
      <c r="E21">
        <v>12</v>
      </c>
      <c r="F21">
        <v>20</v>
      </c>
      <c r="G21">
        <v>1234</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8C26-258C-4E79-8082-1CF30F8B0D66}">
  <sheetPr codeName="Sheet6"/>
  <dimension ref="A1:C34"/>
  <sheetViews>
    <sheetView workbookViewId="0">
      <selection sqref="A1:XFD1"/>
    </sheetView>
  </sheetViews>
  <sheetFormatPr defaultRowHeight="14.4" x14ac:dyDescent="0.3"/>
  <cols>
    <col min="1" max="1" width="34.5546875" bestFit="1" customWidth="1"/>
    <col min="2" max="2" width="5.6640625" bestFit="1" customWidth="1"/>
    <col min="3" max="3" width="9.6640625" bestFit="1" customWidth="1"/>
  </cols>
  <sheetData>
    <row r="1" spans="1:3" s="9" customFormat="1" x14ac:dyDescent="0.3">
      <c r="A1" s="8" t="s">
        <v>2757</v>
      </c>
    </row>
    <row r="2" spans="1:3" s="5" customFormat="1" x14ac:dyDescent="0.3">
      <c r="A2" s="5" t="s">
        <v>2758</v>
      </c>
      <c r="B2" s="5" t="s">
        <v>107</v>
      </c>
      <c r="C2" s="5" t="s">
        <v>2759</v>
      </c>
    </row>
    <row r="3" spans="1:3" x14ac:dyDescent="0.3">
      <c r="A3" t="s">
        <v>94</v>
      </c>
      <c r="B3">
        <v>0</v>
      </c>
      <c r="C3">
        <v>219</v>
      </c>
    </row>
    <row r="4" spans="1:3" x14ac:dyDescent="0.3">
      <c r="A4" t="s">
        <v>102</v>
      </c>
      <c r="B4">
        <v>95</v>
      </c>
      <c r="C4">
        <v>121</v>
      </c>
    </row>
    <row r="5" spans="1:3" x14ac:dyDescent="0.3">
      <c r="A5" t="s">
        <v>159</v>
      </c>
      <c r="B5">
        <v>24</v>
      </c>
      <c r="C5">
        <v>192</v>
      </c>
    </row>
    <row r="6" spans="1:3" x14ac:dyDescent="0.3">
      <c r="A6" t="s">
        <v>109</v>
      </c>
      <c r="B6">
        <v>3</v>
      </c>
      <c r="C6">
        <v>158</v>
      </c>
    </row>
    <row r="7" spans="1:3" x14ac:dyDescent="0.3">
      <c r="A7" t="s">
        <v>118</v>
      </c>
      <c r="B7">
        <v>10</v>
      </c>
      <c r="C7">
        <v>46</v>
      </c>
    </row>
    <row r="8" spans="1:3" x14ac:dyDescent="0.3">
      <c r="A8" t="s">
        <v>411</v>
      </c>
      <c r="B8">
        <v>5</v>
      </c>
      <c r="C8">
        <v>39</v>
      </c>
    </row>
    <row r="9" spans="1:3" x14ac:dyDescent="0.3">
      <c r="A9" t="s">
        <v>139</v>
      </c>
      <c r="B9">
        <v>3</v>
      </c>
      <c r="C9">
        <v>39</v>
      </c>
    </row>
    <row r="10" spans="1:3" x14ac:dyDescent="0.3">
      <c r="A10" t="s">
        <v>113</v>
      </c>
      <c r="B10">
        <v>8</v>
      </c>
      <c r="C10">
        <v>29</v>
      </c>
    </row>
    <row r="11" spans="1:3" x14ac:dyDescent="0.3">
      <c r="A11" t="s">
        <v>220</v>
      </c>
      <c r="B11">
        <v>0</v>
      </c>
      <c r="C11">
        <v>25</v>
      </c>
    </row>
    <row r="12" spans="1:3" x14ac:dyDescent="0.3">
      <c r="A12" t="s">
        <v>247</v>
      </c>
      <c r="B12">
        <v>0</v>
      </c>
      <c r="C12">
        <v>21</v>
      </c>
    </row>
    <row r="13" spans="1:3" x14ac:dyDescent="0.3">
      <c r="A13" t="s">
        <v>279</v>
      </c>
      <c r="B13">
        <v>18</v>
      </c>
      <c r="C13">
        <v>2</v>
      </c>
    </row>
    <row r="14" spans="1:3" x14ac:dyDescent="0.3">
      <c r="A14" t="s">
        <v>332</v>
      </c>
      <c r="B14">
        <v>13</v>
      </c>
      <c r="C14">
        <v>5</v>
      </c>
    </row>
    <row r="15" spans="1:3" x14ac:dyDescent="0.3">
      <c r="A15" t="s">
        <v>229</v>
      </c>
      <c r="B15">
        <v>6</v>
      </c>
      <c r="C15">
        <v>6</v>
      </c>
    </row>
    <row r="16" spans="1:3" x14ac:dyDescent="0.3">
      <c r="A16" t="s">
        <v>287</v>
      </c>
      <c r="B16">
        <v>6</v>
      </c>
      <c r="C16">
        <v>4</v>
      </c>
    </row>
    <row r="17" spans="1:3" x14ac:dyDescent="0.3">
      <c r="A17" t="s">
        <v>542</v>
      </c>
      <c r="B17">
        <v>1</v>
      </c>
      <c r="C17">
        <v>9</v>
      </c>
    </row>
    <row r="18" spans="1:3" x14ac:dyDescent="0.3">
      <c r="A18" t="s">
        <v>749</v>
      </c>
      <c r="B18">
        <v>1</v>
      </c>
      <c r="C18">
        <v>8</v>
      </c>
    </row>
    <row r="19" spans="1:3" x14ac:dyDescent="0.3">
      <c r="A19" t="s">
        <v>587</v>
      </c>
      <c r="B19">
        <v>0</v>
      </c>
      <c r="C19">
        <v>9</v>
      </c>
    </row>
    <row r="20" spans="1:3" x14ac:dyDescent="0.3">
      <c r="A20" t="s">
        <v>499</v>
      </c>
      <c r="B20">
        <v>1</v>
      </c>
      <c r="C20">
        <v>7</v>
      </c>
    </row>
    <row r="21" spans="1:3" x14ac:dyDescent="0.3">
      <c r="A21" t="s">
        <v>769</v>
      </c>
      <c r="B21">
        <v>1</v>
      </c>
      <c r="C21">
        <v>4</v>
      </c>
    </row>
    <row r="22" spans="1:3" x14ac:dyDescent="0.3">
      <c r="A22" t="s">
        <v>934</v>
      </c>
      <c r="B22">
        <v>1</v>
      </c>
      <c r="C22">
        <v>4</v>
      </c>
    </row>
    <row r="23" spans="1:3" x14ac:dyDescent="0.3">
      <c r="A23" t="s">
        <v>414</v>
      </c>
      <c r="B23">
        <v>0</v>
      </c>
      <c r="C23">
        <v>5</v>
      </c>
    </row>
    <row r="24" spans="1:3" x14ac:dyDescent="0.3">
      <c r="A24" t="s">
        <v>493</v>
      </c>
      <c r="B24">
        <v>3</v>
      </c>
      <c r="C24">
        <v>1</v>
      </c>
    </row>
    <row r="25" spans="1:3" x14ac:dyDescent="0.3">
      <c r="A25" t="s">
        <v>181</v>
      </c>
      <c r="B25">
        <v>3</v>
      </c>
      <c r="C25">
        <v>0</v>
      </c>
    </row>
    <row r="26" spans="1:3" x14ac:dyDescent="0.3">
      <c r="A26" t="s">
        <v>321</v>
      </c>
      <c r="B26">
        <v>2</v>
      </c>
      <c r="C26">
        <v>1</v>
      </c>
    </row>
    <row r="27" spans="1:3" x14ac:dyDescent="0.3">
      <c r="A27" t="s">
        <v>545</v>
      </c>
      <c r="B27">
        <v>2</v>
      </c>
      <c r="C27">
        <v>0</v>
      </c>
    </row>
    <row r="28" spans="1:3" x14ac:dyDescent="0.3">
      <c r="A28" t="s">
        <v>1262</v>
      </c>
      <c r="B28">
        <v>0</v>
      </c>
      <c r="C28">
        <v>2</v>
      </c>
    </row>
    <row r="29" spans="1:3" x14ac:dyDescent="0.3">
      <c r="A29" t="s">
        <v>1071</v>
      </c>
      <c r="B29">
        <v>1</v>
      </c>
      <c r="C29">
        <v>0</v>
      </c>
    </row>
    <row r="30" spans="1:3" x14ac:dyDescent="0.3">
      <c r="A30" t="s">
        <v>1718</v>
      </c>
      <c r="B30">
        <v>0</v>
      </c>
      <c r="C30">
        <v>1</v>
      </c>
    </row>
    <row r="31" spans="1:3" x14ac:dyDescent="0.3">
      <c r="A31" t="s">
        <v>1938</v>
      </c>
      <c r="B31">
        <v>0</v>
      </c>
      <c r="C31">
        <v>1</v>
      </c>
    </row>
    <row r="32" spans="1:3" x14ac:dyDescent="0.3">
      <c r="A32" t="s">
        <v>1881</v>
      </c>
      <c r="B32">
        <v>0</v>
      </c>
      <c r="C32">
        <v>1</v>
      </c>
    </row>
    <row r="33" spans="1:3" x14ac:dyDescent="0.3">
      <c r="A33" t="s">
        <v>442</v>
      </c>
      <c r="B33">
        <v>7</v>
      </c>
      <c r="C33">
        <v>25</v>
      </c>
    </row>
    <row r="34" spans="1:3" x14ac:dyDescent="0.3">
      <c r="A34" t="s">
        <v>381</v>
      </c>
      <c r="B34">
        <v>23</v>
      </c>
      <c r="C34">
        <v>13</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8AFA2-B4F3-4B44-AC00-82797450D4E4}">
  <sheetPr codeName="Sheet7"/>
  <dimension ref="A1:C13"/>
  <sheetViews>
    <sheetView workbookViewId="0">
      <selection sqref="A1:XFD1"/>
    </sheetView>
  </sheetViews>
  <sheetFormatPr defaultRowHeight="14.4" x14ac:dyDescent="0.3"/>
  <cols>
    <col min="1" max="1" width="18.88671875" bestFit="1" customWidth="1"/>
    <col min="2" max="2" width="5.6640625" bestFit="1" customWidth="1"/>
    <col min="3" max="3" width="9.6640625" bestFit="1" customWidth="1"/>
  </cols>
  <sheetData>
    <row r="1" spans="1:3" s="9" customFormat="1" x14ac:dyDescent="0.3">
      <c r="A1" s="8" t="s">
        <v>2760</v>
      </c>
    </row>
    <row r="2" spans="1:3" s="5" customFormat="1" x14ac:dyDescent="0.3">
      <c r="A2" s="5" t="s">
        <v>2761</v>
      </c>
      <c r="B2" s="5" t="s">
        <v>107</v>
      </c>
      <c r="C2" s="5" t="s">
        <v>2759</v>
      </c>
    </row>
    <row r="3" spans="1:3" x14ac:dyDescent="0.3">
      <c r="A3" t="s">
        <v>95</v>
      </c>
      <c r="B3">
        <v>9</v>
      </c>
      <c r="C3">
        <v>403</v>
      </c>
    </row>
    <row r="4" spans="1:3" x14ac:dyDescent="0.3">
      <c r="A4" t="s">
        <v>186</v>
      </c>
      <c r="B4">
        <v>64</v>
      </c>
      <c r="C4">
        <v>136</v>
      </c>
    </row>
    <row r="5" spans="1:3" x14ac:dyDescent="0.3">
      <c r="A5" t="s">
        <v>103</v>
      </c>
      <c r="B5">
        <v>61</v>
      </c>
      <c r="C5">
        <v>102</v>
      </c>
    </row>
    <row r="6" spans="1:3" x14ac:dyDescent="0.3">
      <c r="A6" t="s">
        <v>248</v>
      </c>
      <c r="B6">
        <v>21</v>
      </c>
      <c r="C6">
        <v>141</v>
      </c>
    </row>
    <row r="7" spans="1:3" x14ac:dyDescent="0.3">
      <c r="A7" t="s">
        <v>119</v>
      </c>
      <c r="B7">
        <v>32</v>
      </c>
      <c r="C7">
        <v>90</v>
      </c>
    </row>
    <row r="8" spans="1:3" x14ac:dyDescent="0.3">
      <c r="A8" t="s">
        <v>150</v>
      </c>
      <c r="B8">
        <v>38</v>
      </c>
      <c r="C8">
        <v>59</v>
      </c>
    </row>
    <row r="9" spans="1:3" x14ac:dyDescent="0.3">
      <c r="A9" t="s">
        <v>221</v>
      </c>
      <c r="B9">
        <v>0</v>
      </c>
      <c r="C9">
        <v>44</v>
      </c>
    </row>
    <row r="10" spans="1:3" x14ac:dyDescent="0.3">
      <c r="A10" t="s">
        <v>222</v>
      </c>
      <c r="B10">
        <v>1</v>
      </c>
      <c r="C10">
        <v>13</v>
      </c>
    </row>
    <row r="11" spans="1:3" x14ac:dyDescent="0.3">
      <c r="A11" t="s">
        <v>852</v>
      </c>
      <c r="B11">
        <v>2</v>
      </c>
      <c r="C11">
        <v>4</v>
      </c>
    </row>
    <row r="12" spans="1:3" x14ac:dyDescent="0.3">
      <c r="A12" t="s">
        <v>1008</v>
      </c>
      <c r="B12">
        <v>2</v>
      </c>
      <c r="C12">
        <v>1</v>
      </c>
    </row>
    <row r="13" spans="1:3" x14ac:dyDescent="0.3">
      <c r="A13" t="s">
        <v>381</v>
      </c>
      <c r="B13">
        <v>7</v>
      </c>
      <c r="C13">
        <v>4</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E80F5-51E4-46FF-BE96-881C29C58A42}">
  <sheetPr codeName="Sheet8"/>
  <dimension ref="A1:B12"/>
  <sheetViews>
    <sheetView workbookViewId="0">
      <selection sqref="A1:XFD1"/>
    </sheetView>
  </sheetViews>
  <sheetFormatPr defaultRowHeight="14.4" x14ac:dyDescent="0.3"/>
  <cols>
    <col min="1" max="1" width="12.88671875" bestFit="1" customWidth="1"/>
    <col min="2" max="2" width="34.44140625" bestFit="1" customWidth="1"/>
  </cols>
  <sheetData>
    <row r="1" spans="1:2" s="9" customFormat="1" x14ac:dyDescent="0.3">
      <c r="A1" s="8" t="s">
        <v>2762</v>
      </c>
    </row>
    <row r="2" spans="1:2" s="5" customFormat="1" x14ac:dyDescent="0.3">
      <c r="A2" s="5" t="s">
        <v>2751</v>
      </c>
      <c r="B2" s="5" t="s">
        <v>2763</v>
      </c>
    </row>
    <row r="3" spans="1:2" x14ac:dyDescent="0.3">
      <c r="A3">
        <v>2010</v>
      </c>
      <c r="B3">
        <v>216.88408999999999</v>
      </c>
    </row>
    <row r="4" spans="1:2" x14ac:dyDescent="0.3">
      <c r="A4" s="7" t="s">
        <v>2815</v>
      </c>
    </row>
    <row r="5" spans="1:2" x14ac:dyDescent="0.3">
      <c r="A5">
        <v>2012</v>
      </c>
      <c r="B5">
        <v>208.80992999999995</v>
      </c>
    </row>
    <row r="6" spans="1:2" x14ac:dyDescent="0.3">
      <c r="A6">
        <v>2013</v>
      </c>
      <c r="B6">
        <v>194.92356000000001</v>
      </c>
    </row>
    <row r="7" spans="1:2" x14ac:dyDescent="0.3">
      <c r="A7">
        <v>2014</v>
      </c>
      <c r="B7">
        <v>196.17389</v>
      </c>
    </row>
    <row r="8" spans="1:2" x14ac:dyDescent="0.3">
      <c r="A8">
        <v>2015</v>
      </c>
      <c r="B8">
        <v>205.76071999999999</v>
      </c>
    </row>
    <row r="9" spans="1:2" x14ac:dyDescent="0.3">
      <c r="A9">
        <v>2016</v>
      </c>
      <c r="B9">
        <v>213.33747</v>
      </c>
    </row>
    <row r="10" spans="1:2" x14ac:dyDescent="0.3">
      <c r="A10">
        <v>2017</v>
      </c>
      <c r="B10">
        <v>217.02718999999999</v>
      </c>
    </row>
    <row r="11" spans="1:2" x14ac:dyDescent="0.3">
      <c r="A11">
        <v>2018</v>
      </c>
      <c r="B11">
        <v>216.63367</v>
      </c>
    </row>
    <row r="12" spans="1:2" x14ac:dyDescent="0.3">
      <c r="A12">
        <v>2019</v>
      </c>
      <c r="B12">
        <v>218.00689</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C88BD-C0F9-40EE-A7C6-463A272326E3}">
  <sheetPr codeName="Sheet9"/>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2764</v>
      </c>
    </row>
    <row r="2" spans="1:3" s="5" customFormat="1" x14ac:dyDescent="0.3">
      <c r="A2" s="5" t="s">
        <v>2751</v>
      </c>
      <c r="B2" s="5" t="s">
        <v>107</v>
      </c>
      <c r="C2" s="5" t="s">
        <v>2752</v>
      </c>
    </row>
    <row r="3" spans="1:3" x14ac:dyDescent="0.3">
      <c r="A3">
        <v>2010</v>
      </c>
      <c r="B3">
        <v>194</v>
      </c>
      <c r="C3">
        <v>999</v>
      </c>
    </row>
    <row r="4" spans="1:3" x14ac:dyDescent="0.3">
      <c r="A4">
        <v>2011</v>
      </c>
      <c r="B4">
        <v>202</v>
      </c>
      <c r="C4">
        <v>987</v>
      </c>
    </row>
    <row r="5" spans="1:3" x14ac:dyDescent="0.3">
      <c r="A5">
        <v>2012</v>
      </c>
      <c r="B5">
        <v>202</v>
      </c>
      <c r="C5">
        <v>982</v>
      </c>
    </row>
    <row r="6" spans="1:3" x14ac:dyDescent="0.3">
      <c r="A6">
        <v>2013</v>
      </c>
      <c r="B6">
        <v>153</v>
      </c>
      <c r="C6">
        <v>809</v>
      </c>
    </row>
    <row r="7" spans="1:3" x14ac:dyDescent="0.3">
      <c r="A7">
        <v>2014</v>
      </c>
      <c r="B7">
        <v>181</v>
      </c>
      <c r="C7">
        <v>814</v>
      </c>
    </row>
    <row r="8" spans="1:3" x14ac:dyDescent="0.3">
      <c r="A8">
        <v>2015</v>
      </c>
      <c r="B8">
        <v>172</v>
      </c>
      <c r="C8">
        <v>830</v>
      </c>
    </row>
    <row r="9" spans="1:3" x14ac:dyDescent="0.3">
      <c r="A9">
        <v>2016</v>
      </c>
      <c r="B9">
        <v>137</v>
      </c>
      <c r="C9">
        <v>856</v>
      </c>
    </row>
    <row r="10" spans="1:3" x14ac:dyDescent="0.3">
      <c r="A10">
        <v>2017</v>
      </c>
      <c r="B10">
        <v>154</v>
      </c>
      <c r="C10">
        <v>826</v>
      </c>
    </row>
    <row r="11" spans="1:3" x14ac:dyDescent="0.3">
      <c r="A11">
        <v>2018</v>
      </c>
      <c r="B11">
        <v>156</v>
      </c>
      <c r="C11">
        <v>846</v>
      </c>
    </row>
    <row r="12" spans="1:3" x14ac:dyDescent="0.3">
      <c r="A12">
        <v>2019</v>
      </c>
      <c r="B12">
        <v>164</v>
      </c>
      <c r="C12">
        <v>805</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243CE9-C597-47E7-958E-D09DB997A9A6}"/>
</file>

<file path=customXml/itemProps2.xml><?xml version="1.0" encoding="utf-8"?>
<ds:datastoreItem xmlns:ds="http://schemas.openxmlformats.org/officeDocument/2006/customXml" ds:itemID="{FCEF6381-CBE5-49EF-A873-8A5C5EEC77D6}"/>
</file>

<file path=customXml/itemProps3.xml><?xml version="1.0" encoding="utf-8"?>
<ds:datastoreItem xmlns:ds="http://schemas.openxmlformats.org/officeDocument/2006/customXml" ds:itemID="{BCFCD202-FC1C-48E0-B7A7-CAA9582109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Readme</vt:lpstr>
      <vt:lpstr>Data_GA</vt:lpstr>
      <vt:lpstr>GA_Accidents</vt:lpstr>
      <vt:lpstr>GA_AccRate</vt:lpstr>
      <vt:lpstr>GA_AircraftCategory_FlightPurpo</vt:lpstr>
      <vt:lpstr>GA_DefiningEvent</vt:lpstr>
      <vt:lpstr>GA_PhaseOfFlight</vt:lpstr>
      <vt:lpstr>GA_FlightHours</vt:lpstr>
      <vt:lpstr>GA_Personal_Accidents</vt:lpstr>
      <vt:lpstr>GA_Personal_AccRate</vt:lpstr>
      <vt:lpstr>GA_Personal_DefiningEvent</vt:lpstr>
      <vt:lpstr>GA_Personal_PhaseOfFlight</vt:lpstr>
      <vt:lpstr>GA_Personal_FlightHours</vt:lpstr>
      <vt:lpstr>GA_Instructional_FlightHours</vt:lpstr>
      <vt:lpstr>GA_Instructional_Accidents</vt:lpstr>
      <vt:lpstr>GA_Instructional_AccRate</vt:lpstr>
      <vt:lpstr>GA_Instructional_DefiningEvent</vt:lpstr>
      <vt:lpstr>GA_Instructional_PhaseOfFlight</vt:lpstr>
      <vt:lpstr>GA_Business_FlightHours</vt:lpstr>
      <vt:lpstr>GA_Business_Accidents</vt:lpstr>
      <vt:lpstr>GA_Business_AccRate</vt:lpstr>
      <vt:lpstr>GA_Business_DefiningEvent</vt:lpstr>
      <vt:lpstr>GA_Business_PhaseOfFlight</vt:lpstr>
      <vt:lpstr>GA_Exec_FlightHours</vt:lpstr>
      <vt:lpstr>GA_Exec_Accidents</vt:lpstr>
      <vt:lpstr>GA_Exec_AccRate</vt:lpstr>
      <vt:lpstr>GA_Exec_DefiningEvent</vt:lpstr>
      <vt:lpstr>GA_Exec_PhaseOfFlight</vt:lpstr>
      <vt:lpstr>GA_PublicUse_Accidents</vt:lpstr>
      <vt:lpstr>GA_PublicUse_DefiningEvent</vt:lpstr>
      <vt:lpstr>GA_PublicUse_PhaseOfFlight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2021-12-16T03:50:53Z</dcterms:created>
  <dcterms:modified xsi:type="dcterms:W3CDTF">2021-12-17T16:18:58Z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